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K:\Dayton\Dayton 2025 Roll Docs\"/>
    </mc:Choice>
  </mc:AlternateContent>
  <xr:revisionPtr revIDLastSave="0" documentId="13_ncr:1_{CA0BCA96-EA8E-403E-A981-6942A6F66C34}" xr6:coauthVersionLast="47" xr6:coauthVersionMax="47" xr10:uidLastSave="{00000000-0000-0000-0000-000000000000}"/>
  <bookViews>
    <workbookView xWindow="-120" yWindow="-120" windowWidth="29040" windowHeight="15840" firstSheet="1" activeTab="4" xr2:uid="{BA93B830-8EFA-4D11-B6D7-5EE7A23C1B04}"/>
  </bookViews>
  <sheets>
    <sheet name="Agricultural" sheetId="19" r:id="rId1"/>
    <sheet name="Final Res Land Analysis" sheetId="4" r:id="rId2"/>
    <sheet name="Subs BCNLK &amp; Lee Hill  Land " sheetId="5" r:id="rId3"/>
    <sheet name="Cat Lake - Lake Hill Sub" sheetId="13" r:id="rId4"/>
    <sheet name="Commercial" sheetId="18" r:id="rId5"/>
    <sheet name="Harmon Lake Propeties" sheetId="17" r:id="rId6"/>
    <sheet name="Lake Evergreen" sheetId="16" r:id="rId7"/>
    <sheet name="Shay Lake off lake" sheetId="15" r:id="rId8"/>
    <sheet name="Shay Lake onlake" sheetId="14" r:id="rId9"/>
  </sheets>
  <definedNames>
    <definedName name="_xlnm.Print_Area" localSheetId="0">Agricultural!$A$1:$Q$36</definedName>
    <definedName name="_xlnm.Print_Area" localSheetId="3">'Cat Lake - Lake Hill Sub'!$A$1:$Q$66</definedName>
    <definedName name="_xlnm.Print_Area" localSheetId="4">Commercial!$A$1:$P$19</definedName>
    <definedName name="_xlnm.Print_Area" localSheetId="1">'Final Res Land Analysis'!$A$1:$AD$58</definedName>
    <definedName name="_xlnm.Print_Area" localSheetId="5">'Harmon Lake Propeties'!$A$1:$Q$18</definedName>
    <definedName name="_xlnm.Print_Area" localSheetId="6">'Lake Evergreen'!$A$1:$Q$17</definedName>
    <definedName name="_xlnm.Print_Area" localSheetId="7">'Shay Lake off lake'!$A$1:$Q$24</definedName>
    <definedName name="_xlnm.Print_Area" localSheetId="8">'Shay Lake onlake'!$A$1:$Q$31</definedName>
    <definedName name="_xlnm.Print_Area" localSheetId="2">'Subs BCNLK &amp; Lee Hill  Land '!$A$1:$X$15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19" l="1"/>
  <c r="Y8" i="19"/>
  <c r="V9" i="19"/>
  <c r="Y9" i="19"/>
  <c r="V10" i="19"/>
  <c r="Y10" i="19"/>
  <c r="V20" i="19"/>
  <c r="Y20" i="19"/>
  <c r="V7" i="19"/>
  <c r="Y7" i="19"/>
  <c r="Q26" i="19" l="1"/>
  <c r="Q25" i="19"/>
  <c r="Q24" i="19"/>
  <c r="Q23" i="19"/>
  <c r="O26" i="19"/>
  <c r="O25" i="19"/>
  <c r="O24" i="19"/>
  <c r="O23" i="19"/>
  <c r="M26" i="19"/>
  <c r="M25" i="19"/>
  <c r="M24" i="19"/>
  <c r="M23" i="19"/>
  <c r="K26" i="19"/>
  <c r="K25" i="19"/>
  <c r="K24" i="19"/>
  <c r="K23" i="19"/>
  <c r="W17" i="18"/>
  <c r="P17" i="18" s="1"/>
  <c r="T17" i="18"/>
  <c r="W16" i="18"/>
  <c r="P16" i="18" s="1"/>
  <c r="T16" i="18"/>
  <c r="J16" i="18"/>
  <c r="W15" i="18"/>
  <c r="P15" i="18" s="1"/>
  <c r="T15" i="18"/>
  <c r="W14" i="18"/>
  <c r="P14" i="18" s="1"/>
  <c r="T14" i="18"/>
  <c r="W13" i="18"/>
  <c r="N17" i="18" s="1"/>
  <c r="T13" i="18"/>
  <c r="W12" i="18"/>
  <c r="N16" i="18" s="1"/>
  <c r="T12" i="18"/>
  <c r="W11" i="18"/>
  <c r="N15" i="18" s="1"/>
  <c r="T11" i="18"/>
  <c r="W10" i="18"/>
  <c r="N14" i="18" s="1"/>
  <c r="T10" i="18"/>
  <c r="W9" i="18"/>
  <c r="L17" i="18" s="1"/>
  <c r="T9" i="18"/>
  <c r="K9" i="18"/>
  <c r="J9" i="18"/>
  <c r="H9" i="18"/>
  <c r="D9" i="18"/>
  <c r="W8" i="18"/>
  <c r="L16" i="18" s="1"/>
  <c r="T8" i="18"/>
  <c r="I8" i="18"/>
  <c r="F8" i="18"/>
  <c r="G8" i="18" s="1"/>
  <c r="W7" i="18"/>
  <c r="L15" i="18" s="1"/>
  <c r="T7" i="18"/>
  <c r="L7" i="18"/>
  <c r="I7" i="18"/>
  <c r="G7" i="18"/>
  <c r="N7" i="18" s="1"/>
  <c r="W6" i="18"/>
  <c r="L14" i="18" s="1"/>
  <c r="T6" i="18"/>
  <c r="I6" i="18"/>
  <c r="F6" i="18"/>
  <c r="G6" i="18" s="1"/>
  <c r="W5" i="18"/>
  <c r="J17" i="18" s="1"/>
  <c r="T5" i="18"/>
  <c r="I5" i="18"/>
  <c r="G5" i="18"/>
  <c r="N5" i="18" s="1"/>
  <c r="W4" i="18"/>
  <c r="T4" i="18"/>
  <c r="L4" i="18"/>
  <c r="I4" i="18"/>
  <c r="G4" i="18"/>
  <c r="N4" i="18" s="1"/>
  <c r="W3" i="18"/>
  <c r="J15" i="18" s="1"/>
  <c r="T3" i="18"/>
  <c r="I3" i="18"/>
  <c r="F3" i="18"/>
  <c r="G3" i="18" s="1"/>
  <c r="W2" i="18"/>
  <c r="J14" i="18" s="1"/>
  <c r="T2" i="18"/>
  <c r="I2" i="18"/>
  <c r="F2" i="18"/>
  <c r="F9" i="18" s="1"/>
  <c r="W37" i="17"/>
  <c r="T37" i="17"/>
  <c r="W36" i="17"/>
  <c r="T36" i="17"/>
  <c r="W35" i="17"/>
  <c r="T35" i="17"/>
  <c r="W34" i="17"/>
  <c r="T34" i="17"/>
  <c r="W33" i="17"/>
  <c r="T33" i="17"/>
  <c r="W32" i="17"/>
  <c r="T32" i="17"/>
  <c r="W31" i="17"/>
  <c r="W30" i="17"/>
  <c r="T30" i="17"/>
  <c r="W29" i="17"/>
  <c r="T29" i="17"/>
  <c r="W28" i="17"/>
  <c r="T28" i="17"/>
  <c r="W27" i="17"/>
  <c r="T27" i="17"/>
  <c r="W26" i="17"/>
  <c r="T26" i="17"/>
  <c r="W25" i="17"/>
  <c r="T25" i="17"/>
  <c r="W24" i="17"/>
  <c r="T24" i="17"/>
  <c r="W23" i="17"/>
  <c r="T23" i="17"/>
  <c r="W22" i="17"/>
  <c r="T22" i="17"/>
  <c r="Q18" i="17"/>
  <c r="K18" i="17"/>
  <c r="W17" i="17"/>
  <c r="T17" i="17"/>
  <c r="Q17" i="17"/>
  <c r="W16" i="17"/>
  <c r="T16" i="17"/>
  <c r="Q16" i="17"/>
  <c r="M16" i="17"/>
  <c r="K16" i="17"/>
  <c r="W15" i="17"/>
  <c r="T15" i="17"/>
  <c r="W14" i="17"/>
  <c r="Q15" i="17" s="1"/>
  <c r="T14" i="17"/>
  <c r="W13" i="17"/>
  <c r="O18" i="17" s="1"/>
  <c r="T13" i="17"/>
  <c r="W12" i="17"/>
  <c r="O17" i="17" s="1"/>
  <c r="T12" i="17"/>
  <c r="O12" i="17"/>
  <c r="L12" i="17"/>
  <c r="W11" i="17"/>
  <c r="O16" i="17" s="1"/>
  <c r="W10" i="17"/>
  <c r="O15" i="17" s="1"/>
  <c r="T10" i="17"/>
  <c r="L10" i="17"/>
  <c r="K10" i="17"/>
  <c r="I10" i="17"/>
  <c r="H10" i="17"/>
  <c r="G10" i="17"/>
  <c r="F10" i="17"/>
  <c r="D10" i="17"/>
  <c r="W9" i="17"/>
  <c r="M18" i="17" s="1"/>
  <c r="T9" i="17"/>
  <c r="O9" i="17"/>
  <c r="N9" i="17"/>
  <c r="W8" i="17"/>
  <c r="M17" i="17" s="1"/>
  <c r="T8" i="17"/>
  <c r="O8" i="17"/>
  <c r="N8" i="17"/>
  <c r="W7" i="17"/>
  <c r="T7" i="17"/>
  <c r="O7" i="17"/>
  <c r="N7" i="17"/>
  <c r="W6" i="17"/>
  <c r="M15" i="17" s="1"/>
  <c r="T6" i="17"/>
  <c r="O6" i="17"/>
  <c r="N6" i="17"/>
  <c r="W5" i="17"/>
  <c r="T5" i="17"/>
  <c r="O5" i="17"/>
  <c r="N5" i="17"/>
  <c r="W4" i="17"/>
  <c r="K17" i="17" s="1"/>
  <c r="T4" i="17"/>
  <c r="O4" i="17"/>
  <c r="N4" i="17"/>
  <c r="W3" i="17"/>
  <c r="T3" i="17"/>
  <c r="O3" i="17"/>
  <c r="N3" i="17"/>
  <c r="W2" i="17"/>
  <c r="K15" i="17" s="1"/>
  <c r="T2" i="17"/>
  <c r="O2" i="17"/>
  <c r="N2" i="17"/>
  <c r="O24" i="15"/>
  <c r="W17" i="16"/>
  <c r="Q15" i="16" s="1"/>
  <c r="T17" i="16"/>
  <c r="W16" i="16"/>
  <c r="T16" i="16"/>
  <c r="W15" i="16"/>
  <c r="T15" i="16"/>
  <c r="W14" i="16"/>
  <c r="T14" i="16"/>
  <c r="Q14" i="16"/>
  <c r="O14" i="16"/>
  <c r="M14" i="16"/>
  <c r="K14" i="16"/>
  <c r="W13" i="16"/>
  <c r="O15" i="16" s="1"/>
  <c r="T13" i="16"/>
  <c r="Q13" i="16"/>
  <c r="W12" i="16"/>
  <c r="T12" i="16"/>
  <c r="Q12" i="16"/>
  <c r="W11" i="16"/>
  <c r="O13" i="16" s="1"/>
  <c r="T11" i="16"/>
  <c r="W10" i="16"/>
  <c r="O12" i="16" s="1"/>
  <c r="T10" i="16"/>
  <c r="W9" i="16"/>
  <c r="M15" i="16" s="1"/>
  <c r="T9" i="16"/>
  <c r="W8" i="16"/>
  <c r="T8" i="16"/>
  <c r="W7" i="16"/>
  <c r="M13" i="16" s="1"/>
  <c r="T7" i="16"/>
  <c r="W6" i="16"/>
  <c r="M12" i="16" s="1"/>
  <c r="T6" i="16"/>
  <c r="L6" i="16"/>
  <c r="K6" i="16"/>
  <c r="H6" i="16"/>
  <c r="F6" i="16"/>
  <c r="D6" i="16"/>
  <c r="W5" i="16"/>
  <c r="K15" i="16" s="1"/>
  <c r="T5" i="16"/>
  <c r="G5" i="16"/>
  <c r="O5" i="16" s="1"/>
  <c r="W4" i="16"/>
  <c r="T4" i="16"/>
  <c r="G4" i="16"/>
  <c r="O4" i="16" s="1"/>
  <c r="W3" i="16"/>
  <c r="K13" i="16" s="1"/>
  <c r="T3" i="16"/>
  <c r="G3" i="16"/>
  <c r="G6" i="16" s="1"/>
  <c r="W2" i="16"/>
  <c r="K12" i="16" s="1"/>
  <c r="T2" i="16"/>
  <c r="G2" i="16"/>
  <c r="O2" i="16" s="1"/>
  <c r="L12" i="15"/>
  <c r="K12" i="15"/>
  <c r="I12" i="15"/>
  <c r="H12" i="15"/>
  <c r="F12" i="15"/>
  <c r="D12" i="15"/>
  <c r="G12" i="15"/>
  <c r="Q21" i="15"/>
  <c r="X14" i="15"/>
  <c r="Q24" i="15" s="1"/>
  <c r="U14" i="15"/>
  <c r="X13" i="15"/>
  <c r="Q23" i="15" s="1"/>
  <c r="U13" i="15"/>
  <c r="X12" i="15"/>
  <c r="Q22" i="15" s="1"/>
  <c r="U12" i="15"/>
  <c r="X11" i="15"/>
  <c r="O22" i="15" s="1"/>
  <c r="U11" i="15"/>
  <c r="X10" i="15"/>
  <c r="O21" i="15" s="1"/>
  <c r="U10" i="15"/>
  <c r="X9" i="15"/>
  <c r="M24" i="15" s="1"/>
  <c r="U9" i="15"/>
  <c r="X8" i="15"/>
  <c r="M23" i="15" s="1"/>
  <c r="U8" i="15"/>
  <c r="X7" i="15"/>
  <c r="M22" i="15" s="1"/>
  <c r="U7" i="15"/>
  <c r="X6" i="15"/>
  <c r="M21" i="15" s="1"/>
  <c r="U6" i="15"/>
  <c r="X5" i="15"/>
  <c r="K24" i="15" s="1"/>
  <c r="U5" i="15"/>
  <c r="X4" i="15"/>
  <c r="K23" i="15" s="1"/>
  <c r="U4" i="15"/>
  <c r="X3" i="15"/>
  <c r="K22" i="15" s="1"/>
  <c r="U3" i="15"/>
  <c r="X2" i="15"/>
  <c r="K21" i="15" s="1"/>
  <c r="U2" i="15"/>
  <c r="L6" i="14"/>
  <c r="K6" i="14"/>
  <c r="I6" i="14"/>
  <c r="H6" i="14"/>
  <c r="G6" i="14"/>
  <c r="F6" i="14"/>
  <c r="D6" i="14"/>
  <c r="X42" i="14"/>
  <c r="Q31" i="14" s="1"/>
  <c r="U42" i="14"/>
  <c r="X41" i="14"/>
  <c r="Q30" i="14" s="1"/>
  <c r="U41" i="14"/>
  <c r="X40" i="14"/>
  <c r="Q29" i="14" s="1"/>
  <c r="U40" i="14"/>
  <c r="X39" i="14"/>
  <c r="Q28" i="14" s="1"/>
  <c r="U39" i="14"/>
  <c r="X38" i="14"/>
  <c r="U38" i="14"/>
  <c r="X37" i="14"/>
  <c r="O30" i="14" s="1"/>
  <c r="U37" i="14"/>
  <c r="X36" i="14"/>
  <c r="O29" i="14" s="1"/>
  <c r="U36" i="14"/>
  <c r="X35" i="14"/>
  <c r="O28" i="14" s="1"/>
  <c r="U35" i="14"/>
  <c r="X34" i="14"/>
  <c r="M31" i="14" s="1"/>
  <c r="U34" i="14"/>
  <c r="X33" i="14"/>
  <c r="M30" i="14" s="1"/>
  <c r="U33" i="14"/>
  <c r="X32" i="14"/>
  <c r="M29" i="14" s="1"/>
  <c r="U32" i="14"/>
  <c r="X31" i="14"/>
  <c r="U31" i="14"/>
  <c r="O31" i="14"/>
  <c r="X30" i="14"/>
  <c r="K31" i="14" s="1"/>
  <c r="U30" i="14"/>
  <c r="X29" i="14"/>
  <c r="K30" i="14" s="1"/>
  <c r="U29" i="14"/>
  <c r="X28" i="14"/>
  <c r="K29" i="14" s="1"/>
  <c r="U28" i="14"/>
  <c r="M28" i="14"/>
  <c r="X27" i="14"/>
  <c r="K28" i="14" s="1"/>
  <c r="U27" i="14"/>
  <c r="L16" i="14"/>
  <c r="K16" i="14"/>
  <c r="I16" i="14"/>
  <c r="H16" i="14"/>
  <c r="F16" i="14"/>
  <c r="D16" i="14"/>
  <c r="Q25" i="14"/>
  <c r="X15" i="14"/>
  <c r="Q24" i="14" s="1"/>
  <c r="U15" i="14"/>
  <c r="X14" i="14"/>
  <c r="Q23" i="14" s="1"/>
  <c r="U14" i="14"/>
  <c r="X13" i="14"/>
  <c r="Q22" i="14" s="1"/>
  <c r="U13" i="14"/>
  <c r="X12" i="14"/>
  <c r="O25" i="14" s="1"/>
  <c r="U12" i="14"/>
  <c r="X11" i="14"/>
  <c r="O24" i="14" s="1"/>
  <c r="U11" i="14"/>
  <c r="X10" i="14"/>
  <c r="O23" i="14" s="1"/>
  <c r="U10" i="14"/>
  <c r="X9" i="14"/>
  <c r="O22" i="14" s="1"/>
  <c r="U9" i="14"/>
  <c r="X8" i="14"/>
  <c r="M25" i="14" s="1"/>
  <c r="U8" i="14"/>
  <c r="X7" i="14"/>
  <c r="M24" i="14" s="1"/>
  <c r="U7" i="14"/>
  <c r="X6" i="14"/>
  <c r="M23" i="14" s="1"/>
  <c r="U6" i="14"/>
  <c r="O8" i="14"/>
  <c r="X5" i="14"/>
  <c r="K25" i="14" s="1"/>
  <c r="U5" i="14"/>
  <c r="X4" i="14"/>
  <c r="K24" i="14" s="1"/>
  <c r="U4" i="14"/>
  <c r="X3" i="14"/>
  <c r="K23" i="14" s="1"/>
  <c r="U3" i="14"/>
  <c r="X2" i="14"/>
  <c r="K22" i="14" s="1"/>
  <c r="U2" i="14"/>
  <c r="G8" i="13"/>
  <c r="O8" i="13" s="1"/>
  <c r="G7" i="13"/>
  <c r="N7" i="13" s="1"/>
  <c r="G5" i="13"/>
  <c r="N5" i="13" s="1"/>
  <c r="G4" i="13"/>
  <c r="O4" i="13" s="1"/>
  <c r="G2" i="13"/>
  <c r="O2" i="13" s="1"/>
  <c r="G9" i="13"/>
  <c r="M9" i="13" s="1"/>
  <c r="G10" i="13"/>
  <c r="O10" i="13" s="1"/>
  <c r="G11" i="13"/>
  <c r="O11" i="13" s="1"/>
  <c r="G12" i="13"/>
  <c r="M12" i="13" s="1"/>
  <c r="G13" i="13"/>
  <c r="O13" i="13" s="1"/>
  <c r="G14" i="13"/>
  <c r="O14" i="13" s="1"/>
  <c r="G15" i="13"/>
  <c r="O15" i="13" s="1"/>
  <c r="G16" i="13"/>
  <c r="O16" i="13" s="1"/>
  <c r="L22" i="13"/>
  <c r="K22" i="13"/>
  <c r="I22" i="13"/>
  <c r="H22" i="13"/>
  <c r="F22" i="13"/>
  <c r="D22" i="13"/>
  <c r="L44" i="13"/>
  <c r="K44" i="13"/>
  <c r="I44" i="13"/>
  <c r="H44" i="13"/>
  <c r="F44" i="13"/>
  <c r="D44" i="13"/>
  <c r="G43" i="13"/>
  <c r="M43" i="13" s="1"/>
  <c r="G42" i="13"/>
  <c r="M42" i="13" s="1"/>
  <c r="L37" i="13"/>
  <c r="K37" i="13"/>
  <c r="I37" i="13"/>
  <c r="H37" i="13"/>
  <c r="F37" i="13"/>
  <c r="D37" i="13"/>
  <c r="G36" i="13"/>
  <c r="N36" i="13" s="1"/>
  <c r="G35" i="13"/>
  <c r="O35" i="13" s="1"/>
  <c r="G34" i="13"/>
  <c r="O34" i="13" s="1"/>
  <c r="G33" i="13"/>
  <c r="O33" i="13" s="1"/>
  <c r="G32" i="13"/>
  <c r="N32" i="13" s="1"/>
  <c r="G31" i="13"/>
  <c r="O31" i="13" s="1"/>
  <c r="G30" i="13"/>
  <c r="O30" i="13" s="1"/>
  <c r="G29" i="13"/>
  <c r="O29" i="13" s="1"/>
  <c r="G28" i="13"/>
  <c r="O28" i="13" s="1"/>
  <c r="G27" i="13"/>
  <c r="O27" i="13" s="1"/>
  <c r="X24" i="13"/>
  <c r="Q51" i="13" s="1"/>
  <c r="U24" i="13"/>
  <c r="X23" i="13"/>
  <c r="Q50" i="13" s="1"/>
  <c r="U23" i="13"/>
  <c r="X22" i="13"/>
  <c r="Q49" i="13" s="1"/>
  <c r="U22" i="13"/>
  <c r="X21" i="13"/>
  <c r="Q48" i="13" s="1"/>
  <c r="U21" i="13"/>
  <c r="G21" i="13"/>
  <c r="O21" i="13" s="1"/>
  <c r="X20" i="13"/>
  <c r="O51" i="13" s="1"/>
  <c r="U20" i="13"/>
  <c r="G20" i="13"/>
  <c r="N20" i="13" s="1"/>
  <c r="X19" i="13"/>
  <c r="O50" i="13" s="1"/>
  <c r="U19" i="13"/>
  <c r="G19" i="13"/>
  <c r="M19" i="13" s="1"/>
  <c r="X18" i="13"/>
  <c r="O49" i="13" s="1"/>
  <c r="U18" i="13"/>
  <c r="G18" i="13"/>
  <c r="O18" i="13" s="1"/>
  <c r="X17" i="13"/>
  <c r="O48" i="13" s="1"/>
  <c r="U17" i="13"/>
  <c r="G17" i="13"/>
  <c r="M17" i="13" s="1"/>
  <c r="X16" i="13"/>
  <c r="M51" i="13" s="1"/>
  <c r="U16" i="13"/>
  <c r="X15" i="13"/>
  <c r="M50" i="13" s="1"/>
  <c r="U15" i="13"/>
  <c r="X14" i="13"/>
  <c r="M49" i="13" s="1"/>
  <c r="U14" i="13"/>
  <c r="X13" i="13"/>
  <c r="M48" i="13" s="1"/>
  <c r="U13" i="13"/>
  <c r="X12" i="13"/>
  <c r="K51" i="13" s="1"/>
  <c r="U12" i="13"/>
  <c r="X11" i="13"/>
  <c r="K50" i="13" s="1"/>
  <c r="U11" i="13"/>
  <c r="X10" i="13"/>
  <c r="K49" i="13" s="1"/>
  <c r="U10" i="13"/>
  <c r="X9" i="13"/>
  <c r="K48" i="13" s="1"/>
  <c r="U9" i="13"/>
  <c r="M4" i="13" l="1"/>
  <c r="N19" i="13"/>
  <c r="O19" i="13"/>
  <c r="M28" i="13"/>
  <c r="M3" i="18"/>
  <c r="L3" i="18"/>
  <c r="N3" i="18"/>
  <c r="N8" i="18"/>
  <c r="M8" i="18"/>
  <c r="L8" i="18"/>
  <c r="M6" i="18"/>
  <c r="N6" i="18"/>
  <c r="L6" i="18"/>
  <c r="G2" i="18"/>
  <c r="M4" i="18"/>
  <c r="L5" i="18"/>
  <c r="M7" i="18"/>
  <c r="M5" i="18"/>
  <c r="O8" i="16"/>
  <c r="L8" i="16"/>
  <c r="O3" i="16"/>
  <c r="N4" i="16"/>
  <c r="N3" i="16"/>
  <c r="N5" i="16"/>
  <c r="N2" i="16"/>
  <c r="G16" i="14"/>
  <c r="L18" i="14" s="1"/>
  <c r="I8" i="14"/>
  <c r="L8" i="14"/>
  <c r="O20" i="13"/>
  <c r="M5" i="13"/>
  <c r="O5" i="13"/>
  <c r="O9" i="13"/>
  <c r="O12" i="13"/>
  <c r="N4" i="13"/>
  <c r="N27" i="13"/>
  <c r="O7" i="13"/>
  <c r="M7" i="13"/>
  <c r="G22" i="13"/>
  <c r="M2" i="13"/>
  <c r="M8" i="13"/>
  <c r="N2" i="13"/>
  <c r="N8" i="13"/>
  <c r="O17" i="13"/>
  <c r="M20" i="13"/>
  <c r="N17" i="13"/>
  <c r="N31" i="13"/>
  <c r="N9" i="13"/>
  <c r="M32" i="13"/>
  <c r="N42" i="13"/>
  <c r="O32" i="13"/>
  <c r="O42" i="13"/>
  <c r="G44" i="13"/>
  <c r="O46" i="13" s="1"/>
  <c r="M15" i="13"/>
  <c r="N35" i="13"/>
  <c r="M36" i="13"/>
  <c r="G37" i="13"/>
  <c r="O39" i="13" s="1"/>
  <c r="O36" i="13"/>
  <c r="N12" i="13"/>
  <c r="N28" i="13"/>
  <c r="N15" i="13"/>
  <c r="N43" i="13"/>
  <c r="M10" i="13"/>
  <c r="M18" i="13"/>
  <c r="M29" i="13"/>
  <c r="M33" i="13"/>
  <c r="O43" i="13"/>
  <c r="N10" i="13"/>
  <c r="N18" i="13"/>
  <c r="N29" i="13"/>
  <c r="N33" i="13"/>
  <c r="M13" i="13"/>
  <c r="M21" i="13"/>
  <c r="N13" i="13"/>
  <c r="N21" i="13"/>
  <c r="M16" i="13"/>
  <c r="M30" i="13"/>
  <c r="M34" i="13"/>
  <c r="N16" i="13"/>
  <c r="N30" i="13"/>
  <c r="N34" i="13"/>
  <c r="M11" i="13"/>
  <c r="N11" i="13"/>
  <c r="M14" i="13"/>
  <c r="M27" i="13"/>
  <c r="M31" i="13"/>
  <c r="M35" i="13"/>
  <c r="N14" i="13"/>
  <c r="G9" i="18" l="1"/>
  <c r="N2" i="18"/>
  <c r="M2" i="18"/>
  <c r="L2" i="18"/>
  <c r="O14" i="15"/>
  <c r="L14" i="15"/>
  <c r="I14" i="15"/>
  <c r="I18" i="14"/>
  <c r="O18" i="14"/>
  <c r="I39" i="13"/>
  <c r="L39" i="13"/>
  <c r="I46" i="13"/>
  <c r="L46" i="13"/>
  <c r="O24" i="13"/>
  <c r="L24" i="13"/>
  <c r="I24" i="13"/>
  <c r="N11" i="18" l="1"/>
  <c r="K11" i="18"/>
  <c r="P6" i="5" l="1"/>
  <c r="O6" i="5"/>
  <c r="M6" i="5"/>
  <c r="L6" i="5"/>
  <c r="J6" i="5"/>
  <c r="H6" i="5"/>
  <c r="G6" i="5"/>
  <c r="D6" i="5"/>
  <c r="K5" i="5"/>
  <c r="R5" i="5" s="1"/>
  <c r="I5" i="5"/>
  <c r="K4" i="5"/>
  <c r="S4" i="5" s="1"/>
  <c r="I4" i="5"/>
  <c r="K3" i="5"/>
  <c r="Q3" i="5" s="1"/>
  <c r="I3" i="5"/>
  <c r="K2" i="5"/>
  <c r="I2" i="5"/>
  <c r="P43" i="4"/>
  <c r="O43" i="4"/>
  <c r="M43" i="4"/>
  <c r="L43" i="4"/>
  <c r="J43" i="4"/>
  <c r="H43" i="4"/>
  <c r="G43" i="4"/>
  <c r="D43" i="4"/>
  <c r="K42" i="4"/>
  <c r="S42" i="4" s="1"/>
  <c r="I42" i="4"/>
  <c r="K41" i="4"/>
  <c r="S41" i="4" s="1"/>
  <c r="I41" i="4"/>
  <c r="K40" i="4"/>
  <c r="R40" i="4" s="1"/>
  <c r="I40" i="4"/>
  <c r="K39" i="4"/>
  <c r="S39" i="4" s="1"/>
  <c r="I39" i="4"/>
  <c r="K38" i="4"/>
  <c r="Q38" i="4" s="1"/>
  <c r="I38" i="4"/>
  <c r="K37" i="4"/>
  <c r="R37" i="4" s="1"/>
  <c r="I37" i="4"/>
  <c r="K36" i="4"/>
  <c r="R36" i="4" s="1"/>
  <c r="I36" i="4"/>
  <c r="K35" i="4"/>
  <c r="R35" i="4" s="1"/>
  <c r="I35" i="4"/>
  <c r="K34" i="4"/>
  <c r="R34" i="4" s="1"/>
  <c r="I34" i="4"/>
  <c r="K33" i="4"/>
  <c r="S33" i="4" s="1"/>
  <c r="I33" i="4"/>
  <c r="K32" i="4"/>
  <c r="R32" i="4" s="1"/>
  <c r="I32" i="4"/>
  <c r="K31" i="4"/>
  <c r="Q31" i="4" s="1"/>
  <c r="I31" i="4"/>
  <c r="K30" i="4"/>
  <c r="S30" i="4" s="1"/>
  <c r="I30" i="4"/>
  <c r="K29" i="4"/>
  <c r="R29" i="4" s="1"/>
  <c r="I29" i="4"/>
  <c r="K28" i="4"/>
  <c r="R28" i="4" s="1"/>
  <c r="I28" i="4"/>
  <c r="K27" i="4"/>
  <c r="S27" i="4" s="1"/>
  <c r="I27" i="4"/>
  <c r="K26" i="4"/>
  <c r="S26" i="4" s="1"/>
  <c r="I26" i="4"/>
  <c r="K25" i="4"/>
  <c r="R25" i="4" s="1"/>
  <c r="I25" i="4"/>
  <c r="K24" i="4"/>
  <c r="S24" i="4" s="1"/>
  <c r="I24" i="4"/>
  <c r="K23" i="4"/>
  <c r="S23" i="4" s="1"/>
  <c r="I23" i="4"/>
  <c r="K22" i="4"/>
  <c r="R22" i="4" s="1"/>
  <c r="I22" i="4"/>
  <c r="K21" i="4"/>
  <c r="R21" i="4" s="1"/>
  <c r="I21" i="4"/>
  <c r="K20" i="4"/>
  <c r="R20" i="4" s="1"/>
  <c r="I20" i="4"/>
  <c r="K19" i="4"/>
  <c r="S19" i="4" s="1"/>
  <c r="I19" i="4"/>
  <c r="K18" i="4"/>
  <c r="R18" i="4" s="1"/>
  <c r="I18" i="4"/>
  <c r="K17" i="4"/>
  <c r="S17" i="4" s="1"/>
  <c r="I17" i="4"/>
  <c r="K16" i="4"/>
  <c r="S16" i="4" s="1"/>
  <c r="I16" i="4"/>
  <c r="K15" i="4"/>
  <c r="R15" i="4" s="1"/>
  <c r="I15" i="4"/>
  <c r="K14" i="4"/>
  <c r="R14" i="4" s="1"/>
  <c r="I14" i="4"/>
  <c r="K13" i="4"/>
  <c r="S13" i="4" s="1"/>
  <c r="I13" i="4"/>
  <c r="K12" i="4"/>
  <c r="S12" i="4" s="1"/>
  <c r="I12" i="4"/>
  <c r="K11" i="4"/>
  <c r="R11" i="4" s="1"/>
  <c r="I11" i="4"/>
  <c r="K10" i="4"/>
  <c r="S10" i="4" s="1"/>
  <c r="I10" i="4"/>
  <c r="K9" i="4"/>
  <c r="S9" i="4" s="1"/>
  <c r="I9" i="4"/>
  <c r="K8" i="4"/>
  <c r="Q8" i="4" s="1"/>
  <c r="I8" i="4"/>
  <c r="K7" i="4"/>
  <c r="R7" i="4" s="1"/>
  <c r="I7" i="4"/>
  <c r="K6" i="4"/>
  <c r="R6" i="4" s="1"/>
  <c r="I6" i="4"/>
  <c r="K5" i="4"/>
  <c r="R5" i="4" s="1"/>
  <c r="I5" i="4"/>
  <c r="K4" i="4"/>
  <c r="S4" i="4" s="1"/>
  <c r="I4" i="4"/>
  <c r="K3" i="4"/>
  <c r="S3" i="4" s="1"/>
  <c r="I3" i="4"/>
  <c r="I44" i="4" l="1"/>
  <c r="S38" i="4"/>
  <c r="R24" i="4"/>
  <c r="Q4" i="5"/>
  <c r="I8" i="5"/>
  <c r="R3" i="5"/>
  <c r="K6" i="5"/>
  <c r="I7" i="5"/>
  <c r="S3" i="5"/>
  <c r="Q5" i="5"/>
  <c r="S5" i="5"/>
  <c r="S34" i="4"/>
  <c r="S15" i="4"/>
  <c r="R10" i="4"/>
  <c r="R38" i="4"/>
  <c r="Q15" i="4"/>
  <c r="S21" i="4"/>
  <c r="S37" i="4"/>
  <c r="Q17" i="4"/>
  <c r="S11" i="4"/>
  <c r="S7" i="4"/>
  <c r="S40" i="4"/>
  <c r="Q23" i="4"/>
  <c r="Q29" i="4"/>
  <c r="R23" i="4"/>
  <c r="S36" i="4"/>
  <c r="R8" i="4"/>
  <c r="S8" i="4"/>
  <c r="Q21" i="4"/>
  <c r="Q30" i="4"/>
  <c r="Q4" i="4"/>
  <c r="R4" i="4"/>
  <c r="R17" i="4"/>
  <c r="S22" i="4"/>
  <c r="S29" i="4"/>
  <c r="S5" i="4"/>
  <c r="Q35" i="4"/>
  <c r="Q6" i="4"/>
  <c r="Q9" i="4"/>
  <c r="S14" i="4"/>
  <c r="Q19" i="4"/>
  <c r="I45" i="4"/>
  <c r="S6" i="4"/>
  <c r="R9" i="4"/>
  <c r="R19" i="4"/>
  <c r="R31" i="4"/>
  <c r="S35" i="4"/>
  <c r="S25" i="4"/>
  <c r="K43" i="4"/>
  <c r="S45" i="4" s="1"/>
  <c r="Q3" i="4"/>
  <c r="R3" i="4"/>
  <c r="S20" i="4"/>
  <c r="Q14" i="4"/>
  <c r="Q28" i="4"/>
  <c r="Q33" i="4"/>
  <c r="Q37" i="4"/>
  <c r="Q7" i="4"/>
  <c r="Q16" i="4"/>
  <c r="S28" i="4"/>
  <c r="R33" i="4"/>
  <c r="Q2" i="5"/>
  <c r="R2" i="5"/>
  <c r="S2" i="5"/>
  <c r="R4" i="5"/>
  <c r="Q11" i="4"/>
  <c r="Q25" i="4"/>
  <c r="S31" i="4"/>
  <c r="Q40" i="4"/>
  <c r="Q18" i="4"/>
  <c r="Q32" i="4"/>
  <c r="Q12" i="4"/>
  <c r="S18" i="4"/>
  <c r="Q26" i="4"/>
  <c r="S32" i="4"/>
  <c r="Q41" i="4"/>
  <c r="R12" i="4"/>
  <c r="R26" i="4"/>
  <c r="R41" i="4"/>
  <c r="Q22" i="4"/>
  <c r="Q36" i="4"/>
  <c r="Q13" i="4"/>
  <c r="R16" i="4"/>
  <c r="Q27" i="4"/>
  <c r="R30" i="4"/>
  <c r="Q42" i="4"/>
  <c r="Q10" i="4"/>
  <c r="R13" i="4"/>
  <c r="Q24" i="4"/>
  <c r="R27" i="4"/>
  <c r="Q39" i="4"/>
  <c r="R42" i="4"/>
  <c r="R39" i="4"/>
  <c r="Q5" i="4"/>
  <c r="Q20" i="4"/>
  <c r="Q34" i="4"/>
  <c r="M45" i="4" l="1"/>
  <c r="M8" i="5"/>
  <c r="P8" i="5"/>
  <c r="P45" i="4"/>
</calcChain>
</file>

<file path=xl/sharedStrings.xml><?xml version="1.0" encoding="utf-8"?>
<sst xmlns="http://schemas.openxmlformats.org/spreadsheetml/2006/main" count="1173" uniqueCount="367">
  <si>
    <t>Parcel Number</t>
  </si>
  <si>
    <t>Street Address</t>
  </si>
  <si>
    <t>Sale Date</t>
  </si>
  <si>
    <t>Sale Price</t>
  </si>
  <si>
    <t>Instr.</t>
  </si>
  <si>
    <t>Terms of Sale</t>
  </si>
  <si>
    <t>Inf. Adj. Sale $</t>
  </si>
  <si>
    <t>Asd. when Sold</t>
  </si>
  <si>
    <t>Asd/Adj. Sale</t>
  </si>
  <si>
    <t>Cur. Appraisal</t>
  </si>
  <si>
    <t>Land Residual</t>
  </si>
  <si>
    <t>Est. Land Value</t>
  </si>
  <si>
    <t>Effec. Front</t>
  </si>
  <si>
    <t>Depth</t>
  </si>
  <si>
    <t>Net Acres</t>
  </si>
  <si>
    <t>Total Acres</t>
  </si>
  <si>
    <t>Dollars/FF</t>
  </si>
  <si>
    <t>Dollars/Acre</t>
  </si>
  <si>
    <t>Dollars/SqFt</t>
  </si>
  <si>
    <t>Actual Front</t>
  </si>
  <si>
    <t>ECF Area</t>
  </si>
  <si>
    <t>Liber/Page</t>
  </si>
  <si>
    <t>Other Parcels in Sale</t>
  </si>
  <si>
    <t>Land Table</t>
  </si>
  <si>
    <t>Gravel</t>
  </si>
  <si>
    <t>Paved</t>
  </si>
  <si>
    <t>Inspected Date</t>
  </si>
  <si>
    <t>Use Code</t>
  </si>
  <si>
    <t>Class</t>
  </si>
  <si>
    <t>Rate Group 1</t>
  </si>
  <si>
    <t>005-001-000-0900-04</t>
  </si>
  <si>
    <t>ENGLISH</t>
  </si>
  <si>
    <t>WD</t>
  </si>
  <si>
    <t>03-ARM'S LENGTH</t>
  </si>
  <si>
    <t>RES</t>
  </si>
  <si>
    <t>1506/663</t>
  </si>
  <si>
    <t>M &amp; B RESIDENTIAL LAND</t>
  </si>
  <si>
    <t>NOT INSPECTED</t>
  </si>
  <si>
    <t>401</t>
  </si>
  <si>
    <t>AG</t>
  </si>
  <si>
    <t>101</t>
  </si>
  <si>
    <t>005-004-000-2500-02</t>
  </si>
  <si>
    <t>3978 HURDS CORNER</t>
  </si>
  <si>
    <t>1525/29</t>
  </si>
  <si>
    <t>005-005-000-2000-02</t>
  </si>
  <si>
    <t>3725 BYINGTON</t>
  </si>
  <si>
    <t>1516/782</t>
  </si>
  <si>
    <t>005-005-000-2000-03, 005-005-000-2000-04</t>
  </si>
  <si>
    <t>005-005-000-2000-03</t>
  </si>
  <si>
    <t>BYINGTON</t>
  </si>
  <si>
    <t>005-005-000-2000-02, 005-005-000-2000-04</t>
  </si>
  <si>
    <t>005-005-000-2000-04</t>
  </si>
  <si>
    <t>005-005-000-2000-03, 005-005-000-2000-02</t>
  </si>
  <si>
    <t>005-005-000-2400-00</t>
  </si>
  <si>
    <t>3710 LEE HILL RD</t>
  </si>
  <si>
    <t>1543/245</t>
  </si>
  <si>
    <t>005-005-000-4000-00</t>
  </si>
  <si>
    <t>LKEVE</t>
  </si>
  <si>
    <t>005-005-000-5000-00</t>
  </si>
  <si>
    <t>005-005-350-1000-01</t>
  </si>
  <si>
    <t>LEE HILL RD</t>
  </si>
  <si>
    <t>LEEHI</t>
  </si>
  <si>
    <t>1502/302</t>
  </si>
  <si>
    <t>LEE HILL SUB</t>
  </si>
  <si>
    <t>FRONT FOOT RATE</t>
  </si>
  <si>
    <t>005-007-000-0300-06</t>
  </si>
  <si>
    <t>CAT LAKE RD</t>
  </si>
  <si>
    <t>CTLMB</t>
  </si>
  <si>
    <t>005-007-000-0300-10</t>
  </si>
  <si>
    <t>005-007-000-0800-03</t>
  </si>
  <si>
    <t>DAVIS</t>
  </si>
  <si>
    <t>1513/327</t>
  </si>
  <si>
    <t>CATNL</t>
  </si>
  <si>
    <t>005-007-250-1900-00</t>
  </si>
  <si>
    <t>2073 CAT LAKE HILLS</t>
  </si>
  <si>
    <t>CLHIL</t>
  </si>
  <si>
    <t>005-007-650-1500-00</t>
  </si>
  <si>
    <t>WOODLAND TRL</t>
  </si>
  <si>
    <t>005-007-650-1600-00</t>
  </si>
  <si>
    <t>005-010-000-0400-06</t>
  </si>
  <si>
    <t>3560 HARMON LAKE</t>
  </si>
  <si>
    <t>1525/57</t>
  </si>
  <si>
    <t>005-010-000-1300-00</t>
  </si>
  <si>
    <t>3775 SHAY LAKE</t>
  </si>
  <si>
    <t>1529/214</t>
  </si>
  <si>
    <t>005-010-000-2300-00</t>
  </si>
  <si>
    <t>3895 SHAY LAKE</t>
  </si>
  <si>
    <t>1520/1334</t>
  </si>
  <si>
    <t>005-012-000-0845-00</t>
  </si>
  <si>
    <t>AUDREY LANE (OFF)</t>
  </si>
  <si>
    <t>1549/1189</t>
  </si>
  <si>
    <t>005-012-000-0855-00, 005-012-000-0885-00</t>
  </si>
  <si>
    <t>005-012-000-0855-00</t>
  </si>
  <si>
    <t>AUDREY LANE</t>
  </si>
  <si>
    <t>005-012-000-0885-00, 005-012-000-0845-00</t>
  </si>
  <si>
    <t>005-012-000-0885-00</t>
  </si>
  <si>
    <t>WEST (OFF)</t>
  </si>
  <si>
    <t>005-012-000-0855-00, 005-012-000-0845-00</t>
  </si>
  <si>
    <t>SHYNL</t>
  </si>
  <si>
    <t>005-012-597-6900-00</t>
  </si>
  <si>
    <t>005-012-597-6800-00, 005-012-597-4300-00</t>
  </si>
  <si>
    <t>PTA</t>
  </si>
  <si>
    <t>NORTH</t>
  </si>
  <si>
    <t>005-012-597-8000-00</t>
  </si>
  <si>
    <t>005-012-597-7900-00, 005-012-597-7300-00</t>
  </si>
  <si>
    <t>005-013-000-1500-00</t>
  </si>
  <si>
    <t>4773 LAKEVIEW</t>
  </si>
  <si>
    <t>1538/1118</t>
  </si>
  <si>
    <t>005-013-000-1600-00</t>
  </si>
  <si>
    <t>NO ROAD</t>
  </si>
  <si>
    <t>005-013-511-7200-00</t>
  </si>
  <si>
    <t>LAKEVIEW</t>
  </si>
  <si>
    <t>SHYLK</t>
  </si>
  <si>
    <t>005-013-512-1700-00</t>
  </si>
  <si>
    <t>QC</t>
  </si>
  <si>
    <t>005-013-512-3700-00</t>
  </si>
  <si>
    <t>JAYWOOD</t>
  </si>
  <si>
    <t>005-013-512-3800-00</t>
  </si>
  <si>
    <t>005-014-550-0750-00</t>
  </si>
  <si>
    <t>ARDEN PARK</t>
  </si>
  <si>
    <t>SHYCL</t>
  </si>
  <si>
    <t>005-014-550-1350-01</t>
  </si>
  <si>
    <t>4426 ARDEN PARK</t>
  </si>
  <si>
    <t>005-014-550-3250-00</t>
  </si>
  <si>
    <t>ANDERSON</t>
  </si>
  <si>
    <t>005-014-550-3350-00</t>
  </si>
  <si>
    <t>005-014-550-3400-00</t>
  </si>
  <si>
    <t>005-014-550-3450-00</t>
  </si>
  <si>
    <t>005-014-561-1300-00</t>
  </si>
  <si>
    <t>4665 POINT CT</t>
  </si>
  <si>
    <t>005-014-561-1400-00</t>
  </si>
  <si>
    <t>005-014-561-1500-00</t>
  </si>
  <si>
    <t>4658 POINT</t>
  </si>
  <si>
    <t>005-014-561-6500-00</t>
  </si>
  <si>
    <t>ANGLING</t>
  </si>
  <si>
    <t>005-014-561-6600-00</t>
  </si>
  <si>
    <t>005-014-562-9600-00</t>
  </si>
  <si>
    <t>HILLCREST DR</t>
  </si>
  <si>
    <t>005-014-563-3200-00</t>
  </si>
  <si>
    <t>BIRCH DR</t>
  </si>
  <si>
    <t>MLC</t>
  </si>
  <si>
    <t>005-014-610-6700-00</t>
  </si>
  <si>
    <t>HELEN</t>
  </si>
  <si>
    <t>005-015-000-1900-00</t>
  </si>
  <si>
    <t>4860 S PLAIN RD</t>
  </si>
  <si>
    <t>1521/767</t>
  </si>
  <si>
    <t>005-015-000-2110-00</t>
  </si>
  <si>
    <t>3901 PHELPS LAKE</t>
  </si>
  <si>
    <t>1513/410</t>
  </si>
  <si>
    <t>005-016-000-2100-01</t>
  </si>
  <si>
    <t>4830 HURDS CORNER</t>
  </si>
  <si>
    <t>1508/1269</t>
  </si>
  <si>
    <t>005-017-000-1100-01</t>
  </si>
  <si>
    <t>4550 LEE HILL RD</t>
  </si>
  <si>
    <t>1541/987</t>
  </si>
  <si>
    <t>005-017-000-1700-00</t>
  </si>
  <si>
    <t>BLACKMORE RD</t>
  </si>
  <si>
    <t>1532/1462</t>
  </si>
  <si>
    <t>005-018-000-1100-00</t>
  </si>
  <si>
    <t>2150 E BLACKMORE RD</t>
  </si>
  <si>
    <t>1543/469</t>
  </si>
  <si>
    <t>005-018-000-1400-01</t>
  </si>
  <si>
    <t>TREASURER</t>
  </si>
  <si>
    <t>005-018-000-1400-03</t>
  </si>
  <si>
    <t>005-019-000-0400-00</t>
  </si>
  <si>
    <t>PHELPS LAKE</t>
  </si>
  <si>
    <t>1547/622</t>
  </si>
  <si>
    <t>005-019-000-0600-00, 005-019-000-0900-02</t>
  </si>
  <si>
    <t>005-019-000-0600-00</t>
  </si>
  <si>
    <t>2130 PHELPS LAKE</t>
  </si>
  <si>
    <t>005-019-000-0400-00, 005-019-000-0900-02</t>
  </si>
  <si>
    <t>005-019-000-0900-02</t>
  </si>
  <si>
    <t>005-019-000-0400-00, 005-019-000-0600-00</t>
  </si>
  <si>
    <t>402</t>
  </si>
  <si>
    <t>005-020-000-0900-03</t>
  </si>
  <si>
    <t>1529/140</t>
  </si>
  <si>
    <t>005-020-000-0900-04</t>
  </si>
  <si>
    <t>1516/1289</t>
  </si>
  <si>
    <t>005-021-000-0700-00</t>
  </si>
  <si>
    <t>3252 ELBOB LANE</t>
  </si>
  <si>
    <t>1543/1208</t>
  </si>
  <si>
    <t>005-021-150-2800-00</t>
  </si>
  <si>
    <t>5061 FAIRWAY</t>
  </si>
  <si>
    <t>BCNLK</t>
  </si>
  <si>
    <t>1531/812</t>
  </si>
  <si>
    <t>005-021-150-2900-00</t>
  </si>
  <si>
    <t>BIRCHCREST ACRES OFF LAKE</t>
  </si>
  <si>
    <t>FAIRWAY</t>
  </si>
  <si>
    <t>005-021-150-4100-00</t>
  </si>
  <si>
    <t>1514/344</t>
  </si>
  <si>
    <t>005-024-000-0500-01</t>
  </si>
  <si>
    <t>1545/176</t>
  </si>
  <si>
    <t>005-024-000-0800-01</t>
  </si>
  <si>
    <t>4600 PHELPS LAKE RD</t>
  </si>
  <si>
    <t>1546/1276</t>
  </si>
  <si>
    <t>005-028-000-0500-03</t>
  </si>
  <si>
    <t>5685 PATTISON RD</t>
  </si>
  <si>
    <t>1544/1330</t>
  </si>
  <si>
    <t>005-028-000-0500-04</t>
  </si>
  <si>
    <t>5657 PATTISON RD</t>
  </si>
  <si>
    <t>1541/462</t>
  </si>
  <si>
    <t>005-030-000-0750-00</t>
  </si>
  <si>
    <t>OFF OHMER</t>
  </si>
  <si>
    <t>005-031-000-1600-01</t>
  </si>
  <si>
    <t>417 BROWN</t>
  </si>
  <si>
    <t>1527/100</t>
  </si>
  <si>
    <t>005-033-000-0600-03</t>
  </si>
  <si>
    <t>6691 PATTISON RD</t>
  </si>
  <si>
    <t>1538/089</t>
  </si>
  <si>
    <t>005-034-000-1000-05</t>
  </si>
  <si>
    <t>CLIFFORD RD</t>
  </si>
  <si>
    <t>1510/374</t>
  </si>
  <si>
    <t>005-035-000-1600-01</t>
  </si>
  <si>
    <t>4267 CLIFFORD RD</t>
  </si>
  <si>
    <t>1533/0188</t>
  </si>
  <si>
    <t>005-035-000-3900-00</t>
  </si>
  <si>
    <t>2779 MARLETTE RD</t>
  </si>
  <si>
    <t>LC</t>
  </si>
  <si>
    <t>1545/399</t>
  </si>
  <si>
    <t>005-035-000-4000-00</t>
  </si>
  <si>
    <t>005-035-000-4300-00</t>
  </si>
  <si>
    <t>MARLETTE</t>
  </si>
  <si>
    <t>1526/1074</t>
  </si>
  <si>
    <t>005-036-000-0200-00</t>
  </si>
  <si>
    <t>4930 MAYVILLE RD</t>
  </si>
  <si>
    <t>1516/153</t>
  </si>
  <si>
    <t>005-036-000-0400-12</t>
  </si>
  <si>
    <t>MAYVILLE RD</t>
  </si>
  <si>
    <t>1514/567</t>
  </si>
  <si>
    <t>Totals:</t>
  </si>
  <si>
    <t>Sale. Ratio =&gt;</t>
  </si>
  <si>
    <t>Average</t>
  </si>
  <si>
    <t>Std. Dev. =&gt;</t>
  </si>
  <si>
    <t>per FF=&gt;</t>
  </si>
  <si>
    <t>per Net Acre=&gt;</t>
  </si>
  <si>
    <t>per SqFt=&gt;</t>
  </si>
  <si>
    <t>Metes &amp; Bounds Residential Acreage</t>
  </si>
  <si>
    <t>Column1</t>
  </si>
  <si>
    <t>Column2</t>
  </si>
  <si>
    <t>Column3</t>
  </si>
  <si>
    <t>Column4</t>
  </si>
  <si>
    <t>Column5</t>
  </si>
  <si>
    <t>Column6</t>
  </si>
  <si>
    <t>Column7</t>
  </si>
  <si>
    <t>Column8</t>
  </si>
  <si>
    <t>Dayton Township M &amp; B Land Analysis Detail for 2025</t>
  </si>
  <si>
    <t xml:space="preserve"> best determination.  The values were established as shown below.  </t>
  </si>
  <si>
    <t xml:space="preserve">There were insufficient vacant land sales to determing accurate land values so we looked and improved parcel sales as well and exterapolated the land value to aid in the </t>
  </si>
  <si>
    <t>Description</t>
  </si>
  <si>
    <t>Birchcrest Acres - Off Lake</t>
  </si>
  <si>
    <t>Rate</t>
  </si>
  <si>
    <t xml:space="preserve">Lee Hill Sub </t>
  </si>
  <si>
    <t>Birchcrest off Lake - Acreage Rate</t>
  </si>
  <si>
    <t xml:space="preserve">There were insufficient vacant land sales and very few improved sales to review.   We also looked at historical data and residential data within district.   The following land rates were established based on this review.  </t>
  </si>
  <si>
    <t>Adj. Sale $</t>
  </si>
  <si>
    <t>Land
Residual</t>
  </si>
  <si>
    <t>Est. Land
Value</t>
  </si>
  <si>
    <t>Dollars
/FF</t>
  </si>
  <si>
    <t>Dollars
/Acre</t>
  </si>
  <si>
    <t>Dollars
/SqFt</t>
  </si>
  <si>
    <t>$/Acre</t>
  </si>
  <si>
    <t>$ Total Acres</t>
  </si>
  <si>
    <t>005-007-000-0300-02</t>
  </si>
  <si>
    <t>CAT LAKE</t>
  </si>
  <si>
    <t>005-007-000-0500-04</t>
  </si>
  <si>
    <t>4117 LAKEVIEW</t>
  </si>
  <si>
    <t>005-007-210-0400-00</t>
  </si>
  <si>
    <t>005-007-200-0900-00</t>
  </si>
  <si>
    <t>005-007-210-4900-00</t>
  </si>
  <si>
    <t>005-007-210-1400-00</t>
  </si>
  <si>
    <t>4158 LAKEVIEW</t>
  </si>
  <si>
    <t>CATLK</t>
  </si>
  <si>
    <t>005-007-210-3100-00</t>
  </si>
  <si>
    <t>005-007-210-5000-00</t>
  </si>
  <si>
    <t>2247 LAKEVIEW</t>
  </si>
  <si>
    <t>005-007-210-5100-00, 005-007-210-7200-00, 005-007-210-7100-00</t>
  </si>
  <si>
    <t>005-007-220-0300-00</t>
  </si>
  <si>
    <t>005-007-220-0800-02</t>
  </si>
  <si>
    <t>4137 LAKEVIEW</t>
  </si>
  <si>
    <t>005-007-220-1000-00</t>
  </si>
  <si>
    <t>005-007-220-1100-00, 005-007-220-1200-00</t>
  </si>
  <si>
    <t>005-007-230-1000-01</t>
  </si>
  <si>
    <t>2558 HARMON</t>
  </si>
  <si>
    <t>005-007-230-0800-00</t>
  </si>
  <si>
    <t>005-007-650-1100-00</t>
  </si>
  <si>
    <t>WOODLAND</t>
  </si>
  <si>
    <t>005-007-650-1200-00</t>
  </si>
  <si>
    <t>005-007-650-1900-00</t>
  </si>
  <si>
    <t>005-007-650-1800-00</t>
  </si>
  <si>
    <t>Fill in</t>
  </si>
  <si>
    <t>005-007-250-2500-00</t>
  </si>
  <si>
    <t>2044 CAT LAKE HILLS</t>
  </si>
  <si>
    <t>005-007-250-3200-01</t>
  </si>
  <si>
    <t>2108 CAT LAKE HILLS</t>
  </si>
  <si>
    <t>Cat Lake - Off Lake -- Acreage Rates</t>
  </si>
  <si>
    <t>Cat Lake - On Lake -- Front Foot Rate</t>
  </si>
  <si>
    <t>Cat Lake - Off Lake -- Front Foot Rate</t>
  </si>
  <si>
    <t>Cat Lake - Off Lake -- Canal Lot</t>
  </si>
  <si>
    <t>Cat Lake Acres -- Front Foot Rate</t>
  </si>
  <si>
    <t>Cat Lake Hill Sub -- Front Foot Rate</t>
  </si>
  <si>
    <t>Cat Lake Acres -- Acreage Rates</t>
  </si>
  <si>
    <t>Cat Lake - M&amp;B -- Front Foot Rate</t>
  </si>
  <si>
    <t>Cat Lake Hill Sub/Cat Lake M&amp;B -- Acreage Rates</t>
  </si>
  <si>
    <t>Due to lack of sales in the time frame, we have added historical sales.</t>
  </si>
  <si>
    <t>Cat Lake - On Lake -- Acreage Rates</t>
  </si>
  <si>
    <t>Shay Lake Subs - On Lake -- Acreage Rates</t>
  </si>
  <si>
    <t>Shay Lake Subs-On Lake</t>
  </si>
  <si>
    <t>Shay Lake Subs-On Canal</t>
  </si>
  <si>
    <t>Shay Lake Subs - On Canal -- Acreage Rates</t>
  </si>
  <si>
    <t>Shay Lake Subs/Shay Lake Resorts/Shay Lake</t>
  </si>
  <si>
    <t>Shay Lake Subs-Off Lake</t>
  </si>
  <si>
    <t>Heights 3,5,6 - Off Water -- Acreage Rates</t>
  </si>
  <si>
    <t>Shay Lake Resorts-Off Lake</t>
  </si>
  <si>
    <t>Shay Lake Heights-Off Lake</t>
  </si>
  <si>
    <t>005-005-000-4900-00</t>
  </si>
  <si>
    <t>3950 MURRAY</t>
  </si>
  <si>
    <t>MURRAY</t>
  </si>
  <si>
    <t>005-005-000-4800-00</t>
  </si>
  <si>
    <t>3809 LEE HILL</t>
  </si>
  <si>
    <t>Lake Evergreen -- Acreage Rates</t>
  </si>
  <si>
    <t>005-006-000-2550-00</t>
  </si>
  <si>
    <t>2414 HUNT</t>
  </si>
  <si>
    <t>HARLK</t>
  </si>
  <si>
    <t>005-005-000-3600-00</t>
  </si>
  <si>
    <t>3901 OFF BYINGTON</t>
  </si>
  <si>
    <t>005-005-000-2900-03</t>
  </si>
  <si>
    <t>005-005-000-3400-00</t>
  </si>
  <si>
    <t>005-005-000-2900-09</t>
  </si>
  <si>
    <t>005-005-000-2900-07</t>
  </si>
  <si>
    <t>3805 BYINGTON</t>
  </si>
  <si>
    <t>005-005-000-2900-08</t>
  </si>
  <si>
    <t>005-005-000-3500-00</t>
  </si>
  <si>
    <t>3825 BYINGTON</t>
  </si>
  <si>
    <t>Harmon Lake Acreage</t>
  </si>
  <si>
    <t>040-500-109-0120-00</t>
  </si>
  <si>
    <t>30 W MAIN ST</t>
  </si>
  <si>
    <t>1484/618</t>
  </si>
  <si>
    <t>040-025-000-3500-00</t>
  </si>
  <si>
    <t>OHMER RD</t>
  </si>
  <si>
    <t>1531/716</t>
  </si>
  <si>
    <t>038-032-000-1300-00</t>
  </si>
  <si>
    <t>1401/1192</t>
  </si>
  <si>
    <t>039-500-440-1300-00</t>
  </si>
  <si>
    <t>41/18</t>
  </si>
  <si>
    <t>1346/276</t>
  </si>
  <si>
    <t>038-032-000-0300-03</t>
  </si>
  <si>
    <t>1415/056</t>
  </si>
  <si>
    <t>040-025-000-0300-07</t>
  </si>
  <si>
    <t>1463/1430</t>
  </si>
  <si>
    <t>019-013-000-0100-01</t>
  </si>
  <si>
    <t>1472/1139</t>
  </si>
  <si>
    <t>Similar properties were also added from other units within the County.</t>
  </si>
  <si>
    <t>$ per Acre</t>
  </si>
  <si>
    <t>Agricultural Acreage</t>
  </si>
  <si>
    <t>Road ROW</t>
  </si>
  <si>
    <t>Drains</t>
  </si>
  <si>
    <t>Cropland</t>
  </si>
  <si>
    <t>Woods</t>
  </si>
  <si>
    <t>Low Woods</t>
  </si>
  <si>
    <t>Scrub</t>
  </si>
  <si>
    <t xml:space="preserve">Pasture </t>
  </si>
  <si>
    <t>R R ROW</t>
  </si>
  <si>
    <t>Swamp</t>
  </si>
  <si>
    <t>Lake Front</t>
  </si>
  <si>
    <t>Pond</t>
  </si>
  <si>
    <t>Pit Area</t>
  </si>
  <si>
    <t xml:space="preserve">Due to insufficient vacant ag land sales we looked at all vacant vacant land sales in district within the two year sale studies time frame.  The  land values determined based on sales is shown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</si>
</sst>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6" formatCode="&quot;$&quot;#,##0_);[Red]\(&quot;$&quot;#,##0\)"/>
    <numFmt numFmtId="8" formatCode="&quot;$&quot;#,##0.00_);[Red]\(&quot;$&quot;#,##0.00\)"/>
    <numFmt numFmtId="43" formatCode="_(* #,##0.00_);_(* \(#,##0.00\);_(* &quot;-&quot;??_);_(@_)"/>
    <numFmt numFmtId="164" formatCode="#0.00_);[Red]\(#0.00\)"/>
    <numFmt numFmtId="165" formatCode="mm/dd/yy"/>
    <numFmt numFmtId="166" formatCode="#,##0.0_);[Red]\(#,##0.0\)"/>
    <numFmt numFmtId="167" formatCode="#0.0_);[Red]\(#0.0\)"/>
    <numFmt numFmtId="168" formatCode="&quot;$&quot;#,##0_);[Red]\(&quot;$&quot;#,##0.00\)"/>
    <numFmt numFmtId="169" formatCode="&quot;$&quot;#,##0"/>
    <numFmt numFmtId="170" formatCode="0.0"/>
    <numFmt numFmtId="171" formatCode="mm/dd/yyyy"/>
    <numFmt numFmtId="172" formatCode="0_);[Red]\(0\)"/>
    <numFmt numFmtId="173" formatCode="&quot;$&quot;#,##0.00"/>
    <numFmt numFmtId="174" formatCode="&quot;$&quot;#,##0.0"/>
    <numFmt numFmtId="175" formatCode="0.000"/>
    <numFmt numFmtId="176" formatCode="#,##0.000_);[Red]\(#,##0.000\)"/>
  </numFmts>
  <fonts count="21" x14ac:knownFonts="1">
    <font>
      <sz val="11"/>
      <color theme="1"/>
      <name val="Aptos Narrow"/>
      <family val="2"/>
      <scheme val="minor"/>
    </font>
    <font>
      <b/>
      <sz val="11"/>
      <color rgb="FFFFFFFF"/>
      <name val="Aptos Narrow"/>
      <family val="2"/>
      <scheme val="minor"/>
    </font>
    <font>
      <b/>
      <sz val="11"/>
      <color rgb="FF000000"/>
      <name val="Aptos Narrow"/>
      <family val="2"/>
      <scheme val="minor"/>
    </font>
    <font>
      <sz val="11"/>
      <color rgb="FFFF0000"/>
      <name val="Aptos Narrow"/>
      <family val="2"/>
      <scheme val="minor"/>
    </font>
    <font>
      <b/>
      <sz val="11"/>
      <color theme="1"/>
      <name val="Aptos Narrow"/>
      <family val="2"/>
      <scheme val="minor"/>
    </font>
    <font>
      <sz val="10"/>
      <name val="Arial"/>
      <family val="2"/>
    </font>
    <font>
      <b/>
      <u/>
      <sz val="11"/>
      <name val="Aptos Narrow"/>
      <family val="2"/>
      <scheme val="minor"/>
    </font>
    <font>
      <sz val="11"/>
      <name val="Aptos Narrow"/>
      <family val="2"/>
      <scheme val="minor"/>
    </font>
    <font>
      <b/>
      <sz val="11"/>
      <name val="Aptos Narrow"/>
      <family val="2"/>
      <scheme val="minor"/>
    </font>
    <font>
      <b/>
      <u/>
      <sz val="11"/>
      <color theme="1"/>
      <name val="Aptos Narrow"/>
      <family val="2"/>
      <scheme val="minor"/>
    </font>
    <font>
      <b/>
      <u/>
      <sz val="11"/>
      <color theme="5"/>
      <name val="Aptos Narrow"/>
      <family val="2"/>
      <scheme val="minor"/>
    </font>
    <font>
      <sz val="10"/>
      <color theme="5"/>
      <name val="Arial"/>
      <family val="2"/>
    </font>
    <font>
      <b/>
      <u/>
      <sz val="11"/>
      <color theme="5" tint="0.39997558519241921"/>
      <name val="Aptos Narrow"/>
      <family val="2"/>
      <scheme val="minor"/>
    </font>
    <font>
      <b/>
      <sz val="11"/>
      <name val="Aptos Narrow"/>
      <family val="2"/>
    </font>
    <font>
      <u/>
      <sz val="11"/>
      <name val="Aptos Narrow"/>
      <family val="2"/>
      <scheme val="minor"/>
    </font>
    <font>
      <b/>
      <u/>
      <sz val="11"/>
      <color rgb="FFFF0000"/>
      <name val="Aptos Narrow"/>
      <family val="2"/>
      <scheme val="minor"/>
    </font>
    <font>
      <sz val="10"/>
      <color rgb="FFFF0000"/>
      <name val="Arial"/>
      <family val="2"/>
    </font>
    <font>
      <b/>
      <sz val="11"/>
      <color theme="1"/>
      <name val="Aptos Narrow"/>
      <family val="2"/>
    </font>
    <font>
      <sz val="11"/>
      <color indexed="8"/>
      <name val="Aptos Narrow"/>
      <family val="2"/>
      <scheme val="minor"/>
    </font>
    <font>
      <b/>
      <sz val="11"/>
      <color indexed="8"/>
      <name val="Aptos Narrow"/>
      <family val="2"/>
      <scheme val="minor"/>
    </font>
    <font>
      <sz val="8"/>
      <name val="Aptos Narrow"/>
      <family val="2"/>
      <scheme val="minor"/>
    </font>
  </fonts>
  <fills count="17">
    <fill>
      <patternFill patternType="none"/>
    </fill>
    <fill>
      <patternFill patternType="gray125"/>
    </fill>
    <fill>
      <patternFill patternType="solid">
        <fgColor rgb="FF008080"/>
        <bgColor indexed="64"/>
      </patternFill>
    </fill>
    <fill>
      <patternFill patternType="solid">
        <fgColor rgb="FFFFFFFF"/>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bgColor indexed="64"/>
      </patternFill>
    </fill>
    <fill>
      <patternFill patternType="solid">
        <fgColor rgb="FFCDF2FF"/>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8FE2FF"/>
        <bgColor indexed="64"/>
      </patternFill>
    </fill>
    <fill>
      <patternFill patternType="solid">
        <fgColor theme="8" tint="0.59999389629810485"/>
        <bgColor indexed="64"/>
      </patternFill>
    </fill>
    <fill>
      <patternFill patternType="solid">
        <fgColor rgb="FFAC75D5"/>
        <bgColor indexed="64"/>
      </patternFill>
    </fill>
    <fill>
      <patternFill patternType="solid">
        <fgColor theme="7" tint="0.39997558519241921"/>
        <bgColor indexed="64"/>
      </patternFill>
    </fill>
    <fill>
      <patternFill patternType="solid">
        <fgColor rgb="FFFF7575"/>
        <bgColor indexed="64"/>
      </patternFill>
    </fill>
    <fill>
      <patternFill patternType="solid">
        <fgColor theme="9" tint="0.39997558519241921"/>
        <bgColor indexed="64"/>
      </patternFill>
    </fill>
    <fill>
      <patternFill patternType="solid">
        <fgColor theme="0"/>
        <bgColor indexed="64"/>
      </patternFill>
    </fill>
  </fills>
  <borders count="18">
    <border>
      <left/>
      <right/>
      <top/>
      <bottom/>
      <diagonal/>
    </border>
    <border>
      <left/>
      <right/>
      <top style="double">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AC75D5"/>
      </top>
      <bottom style="thin">
        <color rgb="FFAC75D5"/>
      </bottom>
      <diagonal/>
    </border>
    <border>
      <left style="thin">
        <color rgb="FFFFCCCC"/>
      </left>
      <right/>
      <top style="thin">
        <color rgb="FFFF4747"/>
      </top>
      <bottom style="thin">
        <color rgb="FFFF4747"/>
      </bottom>
      <diagonal/>
    </border>
    <border>
      <left/>
      <right/>
      <top style="thin">
        <color rgb="FFFF4747"/>
      </top>
      <bottom style="thin">
        <color rgb="FFFFCCCC"/>
      </bottom>
      <diagonal/>
    </border>
    <border>
      <left/>
      <right/>
      <top style="thin">
        <color rgb="FFFF4747"/>
      </top>
      <bottom style="thin">
        <color rgb="FFFF4747"/>
      </bottom>
      <diagonal/>
    </border>
    <border>
      <left/>
      <right/>
      <top style="thin">
        <color rgb="FFFF4747"/>
      </top>
      <bottom/>
      <diagonal/>
    </border>
    <border>
      <left/>
      <right style="thin">
        <color rgb="FFFFCCCC"/>
      </right>
      <top style="thin">
        <color rgb="FFFF4747"/>
      </top>
      <bottom style="thin">
        <color rgb="FFFF474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5" fillId="0" borderId="0"/>
    <xf numFmtId="0" fontId="5" fillId="0" borderId="0"/>
    <xf numFmtId="43" fontId="5" fillId="0" borderId="0" applyFont="0" applyFill="0" applyBorder="0" applyAlignment="0" applyProtection="0"/>
  </cellStyleXfs>
  <cellXfs count="411">
    <xf numFmtId="0" fontId="0" fillId="0" borderId="0" xfId="0"/>
    <xf numFmtId="0" fontId="1" fillId="2" borderId="0" xfId="0" applyFont="1" applyFill="1" applyAlignment="1">
      <alignment horizontal="center"/>
    </xf>
    <xf numFmtId="0" fontId="0" fillId="0" borderId="0" xfId="0" applyAlignment="1">
      <alignment horizontal="center"/>
    </xf>
    <xf numFmtId="0" fontId="1" fillId="2" borderId="0" xfId="0" applyFont="1" applyFill="1" applyAlignment="1">
      <alignment horizontal="right"/>
    </xf>
    <xf numFmtId="0" fontId="0" fillId="0" borderId="0" xfId="0" applyAlignment="1">
      <alignment horizontal="right"/>
    </xf>
    <xf numFmtId="0" fontId="0" fillId="0" borderId="0" xfId="0" quotePrefix="1" applyAlignment="1">
      <alignment horizontal="right"/>
    </xf>
    <xf numFmtId="0" fontId="0" fillId="0" borderId="0" xfId="0" quotePrefix="1"/>
    <xf numFmtId="14" fontId="0" fillId="0" borderId="0" xfId="0" applyNumberFormat="1"/>
    <xf numFmtId="0" fontId="2" fillId="3" borderId="1" xfId="0" applyFont="1" applyFill="1" applyBorder="1"/>
    <xf numFmtId="0" fontId="2" fillId="3" borderId="1" xfId="0" applyFont="1" applyFill="1" applyBorder="1" applyAlignment="1">
      <alignment horizontal="right"/>
    </xf>
    <xf numFmtId="0" fontId="2" fillId="3" borderId="0" xfId="0" applyFont="1" applyFill="1"/>
    <xf numFmtId="0" fontId="2" fillId="3" borderId="0" xfId="0" applyFont="1" applyFill="1" applyAlignment="1">
      <alignment horizontal="right"/>
    </xf>
    <xf numFmtId="0" fontId="2" fillId="3" borderId="2" xfId="0" applyFont="1" applyFill="1" applyBorder="1"/>
    <xf numFmtId="0" fontId="2" fillId="3" borderId="2" xfId="0" applyFont="1" applyFill="1" applyBorder="1" applyAlignment="1">
      <alignment horizontal="right"/>
    </xf>
    <xf numFmtId="6" fontId="1" fillId="2" borderId="0" xfId="0" applyNumberFormat="1" applyFont="1" applyFill="1" applyAlignment="1">
      <alignment horizontal="center"/>
    </xf>
    <xf numFmtId="6" fontId="0" fillId="0" borderId="0" xfId="0" applyNumberFormat="1"/>
    <xf numFmtId="6" fontId="2" fillId="3" borderId="1" xfId="0" applyNumberFormat="1" applyFont="1" applyFill="1" applyBorder="1"/>
    <xf numFmtId="6" fontId="2" fillId="3" borderId="0" xfId="0" applyNumberFormat="1" applyFont="1" applyFill="1"/>
    <xf numFmtId="6" fontId="2" fillId="3" borderId="2" xfId="0" applyNumberFormat="1" applyFont="1" applyFill="1" applyBorder="1"/>
    <xf numFmtId="164" fontId="1" fillId="2" borderId="0" xfId="0" applyNumberFormat="1" applyFont="1" applyFill="1" applyAlignment="1">
      <alignment horizontal="center"/>
    </xf>
    <xf numFmtId="164" fontId="0" fillId="0" borderId="0" xfId="0" applyNumberFormat="1"/>
    <xf numFmtId="164" fontId="2" fillId="3" borderId="1" xfId="0" applyNumberFormat="1" applyFont="1" applyFill="1" applyBorder="1"/>
    <xf numFmtId="164" fontId="2" fillId="3" borderId="0" xfId="0" applyNumberFormat="1" applyFont="1" applyFill="1"/>
    <xf numFmtId="164" fontId="2" fillId="3" borderId="2" xfId="0" applyNumberFormat="1" applyFont="1" applyFill="1" applyBorder="1"/>
    <xf numFmtId="165" fontId="1" fillId="2" borderId="0" xfId="0" applyNumberFormat="1" applyFont="1" applyFill="1" applyAlignment="1">
      <alignment horizontal="center"/>
    </xf>
    <xf numFmtId="165" fontId="0" fillId="0" borderId="0" xfId="0" applyNumberFormat="1"/>
    <xf numFmtId="165" fontId="2" fillId="3" borderId="1" xfId="0" applyNumberFormat="1" applyFont="1" applyFill="1" applyBorder="1"/>
    <xf numFmtId="165" fontId="2" fillId="3" borderId="0" xfId="0" applyNumberFormat="1" applyFont="1" applyFill="1"/>
    <xf numFmtId="165" fontId="2" fillId="3" borderId="2" xfId="0" applyNumberFormat="1" applyFont="1" applyFill="1" applyBorder="1"/>
    <xf numFmtId="166" fontId="1" fillId="2" borderId="0" xfId="0" applyNumberFormat="1" applyFont="1" applyFill="1" applyAlignment="1">
      <alignment horizontal="center"/>
    </xf>
    <xf numFmtId="166" fontId="0" fillId="0" borderId="0" xfId="0" applyNumberFormat="1"/>
    <xf numFmtId="166" fontId="2" fillId="3" borderId="1" xfId="0" applyNumberFormat="1" applyFont="1" applyFill="1" applyBorder="1"/>
    <xf numFmtId="166" fontId="2" fillId="3" borderId="0" xfId="0" applyNumberFormat="1" applyFont="1" applyFill="1"/>
    <xf numFmtId="167" fontId="1" fillId="2" borderId="0" xfId="0" applyNumberFormat="1" applyFont="1" applyFill="1" applyAlignment="1">
      <alignment horizontal="center"/>
    </xf>
    <xf numFmtId="167" fontId="0" fillId="0" borderId="0" xfId="0" applyNumberFormat="1"/>
    <xf numFmtId="167" fontId="2" fillId="3" borderId="1" xfId="0" applyNumberFormat="1" applyFont="1" applyFill="1" applyBorder="1"/>
    <xf numFmtId="167" fontId="2" fillId="3" borderId="0" xfId="0" applyNumberFormat="1" applyFont="1" applyFill="1"/>
    <xf numFmtId="167" fontId="2" fillId="3" borderId="2" xfId="0" applyNumberFormat="1" applyFont="1" applyFill="1" applyBorder="1"/>
    <xf numFmtId="40" fontId="1" fillId="2" borderId="0" xfId="0" applyNumberFormat="1" applyFont="1" applyFill="1" applyAlignment="1">
      <alignment horizontal="center"/>
    </xf>
    <xf numFmtId="40" fontId="0" fillId="0" borderId="0" xfId="0" applyNumberFormat="1"/>
    <xf numFmtId="40" fontId="2" fillId="3" borderId="1" xfId="0" applyNumberFormat="1" applyFont="1" applyFill="1" applyBorder="1"/>
    <xf numFmtId="40" fontId="2" fillId="3" borderId="0" xfId="0" applyNumberFormat="1" applyFont="1" applyFill="1"/>
    <xf numFmtId="40" fontId="2" fillId="3" borderId="2" xfId="0" applyNumberFormat="1" applyFont="1" applyFill="1" applyBorder="1"/>
    <xf numFmtId="8" fontId="1" fillId="2" borderId="0" xfId="0" applyNumberFormat="1" applyFont="1" applyFill="1" applyAlignment="1">
      <alignment horizontal="center"/>
    </xf>
    <xf numFmtId="8" fontId="0" fillId="0" borderId="0" xfId="0" applyNumberFormat="1"/>
    <xf numFmtId="8" fontId="2" fillId="3" borderId="1" xfId="0" applyNumberFormat="1" applyFont="1" applyFill="1" applyBorder="1"/>
    <xf numFmtId="8" fontId="2" fillId="3" borderId="0" xfId="0" applyNumberFormat="1" applyFont="1" applyFill="1"/>
    <xf numFmtId="8" fontId="2" fillId="3" borderId="2" xfId="0" applyNumberFormat="1" applyFont="1" applyFill="1" applyBorder="1"/>
    <xf numFmtId="168" fontId="2" fillId="3" borderId="2" xfId="0" applyNumberFormat="1" applyFont="1" applyFill="1" applyBorder="1"/>
    <xf numFmtId="170" fontId="7" fillId="4" borderId="0" xfId="1" applyNumberFormat="1" applyFont="1" applyFill="1" applyAlignment="1">
      <alignment horizontal="right"/>
    </xf>
    <xf numFmtId="169" fontId="7" fillId="4" borderId="0" xfId="1" applyNumberFormat="1" applyFont="1" applyFill="1" applyAlignment="1">
      <alignment horizontal="right"/>
    </xf>
    <xf numFmtId="0" fontId="7" fillId="0" borderId="0" xfId="0" applyFont="1" applyAlignment="1">
      <alignment horizontal="right"/>
    </xf>
    <xf numFmtId="171" fontId="8" fillId="0" borderId="0" xfId="1" applyNumberFormat="1" applyFont="1" applyAlignment="1">
      <alignment horizontal="right"/>
    </xf>
    <xf numFmtId="0" fontId="8" fillId="0" borderId="0" xfId="1" applyFont="1" applyAlignment="1">
      <alignment horizontal="right"/>
    </xf>
    <xf numFmtId="170" fontId="7" fillId="0" borderId="0" xfId="1" applyNumberFormat="1" applyFont="1" applyAlignment="1">
      <alignment horizontal="right"/>
    </xf>
    <xf numFmtId="169" fontId="7" fillId="0" borderId="0" xfId="1" applyNumberFormat="1" applyFont="1" applyAlignment="1">
      <alignment horizontal="right"/>
    </xf>
    <xf numFmtId="0" fontId="7" fillId="0" borderId="0" xfId="1" applyFont="1" applyAlignment="1">
      <alignment horizontal="right"/>
    </xf>
    <xf numFmtId="38" fontId="0" fillId="0" borderId="0" xfId="0" applyNumberFormat="1"/>
    <xf numFmtId="172" fontId="0" fillId="0" borderId="0" xfId="0" applyNumberFormat="1"/>
    <xf numFmtId="169" fontId="0" fillId="0" borderId="0" xfId="0" applyNumberFormat="1"/>
    <xf numFmtId="165" fontId="0" fillId="0" borderId="0" xfId="0" applyNumberFormat="1" applyAlignment="1">
      <alignment horizontal="center"/>
    </xf>
    <xf numFmtId="6" fontId="0" fillId="0" borderId="0" xfId="0" applyNumberFormat="1" applyAlignment="1">
      <alignment horizontal="center"/>
    </xf>
    <xf numFmtId="0" fontId="4" fillId="0" borderId="0" xfId="0" applyFont="1" applyAlignment="1">
      <alignment horizontal="right"/>
    </xf>
    <xf numFmtId="168" fontId="2" fillId="3" borderId="0" xfId="0" applyNumberFormat="1" applyFont="1" applyFill="1"/>
    <xf numFmtId="0" fontId="4" fillId="0" borderId="0" xfId="0" applyFont="1"/>
    <xf numFmtId="168" fontId="2" fillId="5" borderId="2" xfId="0" applyNumberFormat="1" applyFont="1" applyFill="1" applyBorder="1"/>
    <xf numFmtId="0" fontId="9" fillId="0" borderId="0" xfId="0" applyFont="1" applyAlignment="1">
      <alignment horizontal="center"/>
    </xf>
    <xf numFmtId="0" fontId="9" fillId="0" borderId="0" xfId="0" applyFont="1"/>
    <xf numFmtId="170" fontId="7" fillId="6" borderId="0" xfId="1" applyNumberFormat="1" applyFont="1" applyFill="1" applyAlignment="1">
      <alignment horizontal="right"/>
    </xf>
    <xf numFmtId="169" fontId="7" fillId="6" borderId="0" xfId="1" applyNumberFormat="1" applyFont="1" applyFill="1" applyAlignment="1">
      <alignment horizontal="right"/>
    </xf>
    <xf numFmtId="0" fontId="8" fillId="0" borderId="0" xfId="0" applyFont="1" applyAlignment="1">
      <alignment horizontal="center" wrapText="1"/>
    </xf>
    <xf numFmtId="165" fontId="8" fillId="0" borderId="0" xfId="0" applyNumberFormat="1" applyFont="1" applyAlignment="1">
      <alignment horizontal="center" wrapText="1"/>
    </xf>
    <xf numFmtId="6" fontId="8" fillId="0" borderId="0" xfId="0" applyNumberFormat="1" applyFont="1" applyAlignment="1">
      <alignment horizontal="center" wrapText="1"/>
    </xf>
    <xf numFmtId="166" fontId="8" fillId="0" borderId="0" xfId="0" applyNumberFormat="1" applyFont="1" applyAlignment="1">
      <alignment horizontal="center" wrapText="1"/>
    </xf>
    <xf numFmtId="167" fontId="8" fillId="0" borderId="0" xfId="0" applyNumberFormat="1" applyFont="1" applyAlignment="1">
      <alignment horizontal="center" wrapText="1"/>
    </xf>
    <xf numFmtId="40" fontId="8" fillId="0" borderId="0" xfId="0" applyNumberFormat="1" applyFont="1" applyAlignment="1">
      <alignment horizontal="center" wrapText="1"/>
    </xf>
    <xf numFmtId="8" fontId="8" fillId="0" borderId="0" xfId="0" applyNumberFormat="1" applyFont="1" applyAlignment="1">
      <alignment horizontal="center" wrapText="1"/>
    </xf>
    <xf numFmtId="0" fontId="8" fillId="0" borderId="0" xfId="0" applyFont="1" applyAlignment="1">
      <alignment horizontal="right"/>
    </xf>
    <xf numFmtId="0" fontId="8" fillId="0" borderId="0" xfId="0" applyFont="1" applyAlignment="1">
      <alignment horizontal="center"/>
    </xf>
    <xf numFmtId="0" fontId="7" fillId="0" borderId="0" xfId="0" applyFont="1" applyAlignment="1">
      <alignment vertical="center"/>
    </xf>
    <xf numFmtId="0" fontId="9" fillId="0" borderId="0" xfId="0" applyFont="1" applyAlignment="1">
      <alignment wrapText="1"/>
    </xf>
    <xf numFmtId="0" fontId="10" fillId="0" borderId="0" xfId="0" applyFont="1" applyAlignment="1">
      <alignment wrapText="1"/>
    </xf>
    <xf numFmtId="0" fontId="6" fillId="0" borderId="0" xfId="0" applyFont="1" applyAlignment="1">
      <alignment wrapText="1"/>
    </xf>
    <xf numFmtId="165" fontId="7" fillId="0" borderId="0" xfId="0" applyNumberFormat="1" applyFont="1" applyAlignment="1">
      <alignment horizontal="center" vertical="center"/>
    </xf>
    <xf numFmtId="6" fontId="7" fillId="0" borderId="0" xfId="0" applyNumberFormat="1" applyFont="1" applyAlignment="1">
      <alignment horizontal="right" vertical="center"/>
    </xf>
    <xf numFmtId="0" fontId="7" fillId="0" borderId="0" xfId="0" applyFont="1" applyAlignment="1">
      <alignment horizontal="center" vertical="center"/>
    </xf>
    <xf numFmtId="6" fontId="7" fillId="0" borderId="0" xfId="0" applyNumberFormat="1" applyFont="1" applyAlignment="1">
      <alignment vertical="center"/>
    </xf>
    <xf numFmtId="166" fontId="7" fillId="0" borderId="0" xfId="0" applyNumberFormat="1" applyFont="1" applyAlignment="1">
      <alignment vertical="center"/>
    </xf>
    <xf numFmtId="167" fontId="7" fillId="0" borderId="0" xfId="0" applyNumberFormat="1" applyFont="1" applyAlignment="1">
      <alignment vertical="center"/>
    </xf>
    <xf numFmtId="40" fontId="7" fillId="0" borderId="0" xfId="0" applyNumberFormat="1" applyFont="1" applyAlignment="1">
      <alignment vertical="center"/>
    </xf>
    <xf numFmtId="8" fontId="7" fillId="0" borderId="0" xfId="0" applyNumberFormat="1" applyFont="1" applyAlignment="1">
      <alignment vertical="center"/>
    </xf>
    <xf numFmtId="0" fontId="7" fillId="0" borderId="0" xfId="0" quotePrefix="1" applyFont="1" applyAlignment="1">
      <alignment horizontal="right" vertical="center"/>
    </xf>
    <xf numFmtId="0" fontId="7" fillId="0" borderId="0" xfId="0" applyFont="1" applyAlignment="1">
      <alignment vertical="center" wrapText="1"/>
    </xf>
    <xf numFmtId="0" fontId="5" fillId="0" borderId="0" xfId="2"/>
    <xf numFmtId="37" fontId="5" fillId="0" borderId="0" xfId="3" applyNumberFormat="1" applyFont="1" applyFill="1" applyBorder="1"/>
    <xf numFmtId="37" fontId="11" fillId="0" borderId="0" xfId="3" applyNumberFormat="1" applyFont="1" applyFill="1" applyBorder="1"/>
    <xf numFmtId="37" fontId="11" fillId="0" borderId="3" xfId="3" applyNumberFormat="1" applyFont="1" applyFill="1" applyBorder="1"/>
    <xf numFmtId="37" fontId="5" fillId="0" borderId="4" xfId="3" applyNumberFormat="1" applyFont="1" applyBorder="1"/>
    <xf numFmtId="37" fontId="11" fillId="0" borderId="0" xfId="3" applyNumberFormat="1" applyFont="1" applyBorder="1"/>
    <xf numFmtId="0" fontId="8" fillId="0" borderId="0" xfId="0" applyFont="1" applyAlignment="1">
      <alignment vertical="center"/>
    </xf>
    <xf numFmtId="165" fontId="8" fillId="0" borderId="0" xfId="0" applyNumberFormat="1" applyFont="1" applyAlignment="1">
      <alignment horizontal="center" vertical="center"/>
    </xf>
    <xf numFmtId="6" fontId="8" fillId="0" borderId="0" xfId="0" applyNumberFormat="1" applyFont="1" applyAlignment="1">
      <alignment horizontal="right" vertical="center"/>
    </xf>
    <xf numFmtId="0" fontId="8" fillId="0" borderId="0" xfId="0" applyFont="1" applyAlignment="1">
      <alignment horizontal="center" vertical="center"/>
    </xf>
    <xf numFmtId="6" fontId="8" fillId="0" borderId="0" xfId="0" applyNumberFormat="1" applyFont="1" applyAlignment="1">
      <alignment vertical="center"/>
    </xf>
    <xf numFmtId="167" fontId="8" fillId="0" borderId="0" xfId="0" applyNumberFormat="1" applyFont="1" applyAlignment="1">
      <alignment vertical="center"/>
    </xf>
    <xf numFmtId="40" fontId="8" fillId="0" borderId="0" xfId="0" applyNumberFormat="1" applyFont="1" applyAlignment="1">
      <alignment vertical="center"/>
    </xf>
    <xf numFmtId="0" fontId="8" fillId="0" borderId="0" xfId="0" applyFont="1" applyAlignment="1">
      <alignment horizontal="right" vertical="center"/>
    </xf>
    <xf numFmtId="0" fontId="8" fillId="0" borderId="2" xfId="0" applyFont="1" applyBorder="1" applyAlignment="1">
      <alignment vertical="center"/>
    </xf>
    <xf numFmtId="165" fontId="8" fillId="0" borderId="2" xfId="0" applyNumberFormat="1" applyFont="1" applyBorder="1" applyAlignment="1">
      <alignment horizontal="center" vertical="center"/>
    </xf>
    <xf numFmtId="6" fontId="8" fillId="0" borderId="2" xfId="0" applyNumberFormat="1" applyFont="1" applyBorder="1" applyAlignment="1">
      <alignment horizontal="right" vertical="center"/>
    </xf>
    <xf numFmtId="0" fontId="8" fillId="0" borderId="2" xfId="0" applyFont="1" applyBorder="1" applyAlignment="1">
      <alignment horizontal="center" vertical="center"/>
    </xf>
    <xf numFmtId="6" fontId="8" fillId="0" borderId="2" xfId="0" applyNumberFormat="1" applyFont="1" applyBorder="1" applyAlignment="1">
      <alignment vertical="center"/>
    </xf>
    <xf numFmtId="167" fontId="8" fillId="0" borderId="2" xfId="0" applyNumberFormat="1" applyFont="1" applyBorder="1" applyAlignment="1">
      <alignment vertical="center"/>
    </xf>
    <xf numFmtId="40" fontId="8" fillId="0" borderId="2" xfId="0" applyNumberFormat="1" applyFont="1" applyBorder="1" applyAlignment="1">
      <alignment vertical="center"/>
    </xf>
    <xf numFmtId="0" fontId="8" fillId="0" borderId="2" xfId="0" applyFont="1" applyBorder="1" applyAlignment="1">
      <alignment horizontal="right" vertical="center"/>
    </xf>
    <xf numFmtId="37" fontId="11" fillId="0" borderId="5" xfId="3" applyNumberFormat="1" applyFont="1" applyFill="1" applyBorder="1"/>
    <xf numFmtId="37" fontId="5" fillId="0" borderId="6" xfId="3" applyNumberFormat="1" applyFont="1" applyBorder="1"/>
    <xf numFmtId="0" fontId="7" fillId="0" borderId="0" xfId="0" applyFont="1" applyAlignment="1">
      <alignment horizontal="right" vertical="center"/>
    </xf>
    <xf numFmtId="0" fontId="7" fillId="7" borderId="0" xfId="0" applyFont="1" applyFill="1" applyAlignment="1">
      <alignment vertical="center"/>
    </xf>
    <xf numFmtId="165" fontId="7" fillId="7" borderId="0" xfId="0" applyNumberFormat="1" applyFont="1" applyFill="1" applyAlignment="1">
      <alignment horizontal="center" vertical="center"/>
    </xf>
    <xf numFmtId="6" fontId="7" fillId="7" borderId="0" xfId="0" applyNumberFormat="1" applyFont="1" applyFill="1" applyAlignment="1">
      <alignment horizontal="right" vertical="center"/>
    </xf>
    <xf numFmtId="0" fontId="7" fillId="7" borderId="0" xfId="0" applyFont="1" applyFill="1" applyAlignment="1">
      <alignment horizontal="center" vertical="center"/>
    </xf>
    <xf numFmtId="167" fontId="7" fillId="7" borderId="0" xfId="0" applyNumberFormat="1" applyFont="1" applyFill="1" applyAlignment="1">
      <alignment vertical="center"/>
    </xf>
    <xf numFmtId="40" fontId="7" fillId="7" borderId="0" xfId="0" applyNumberFormat="1" applyFont="1" applyFill="1" applyAlignment="1">
      <alignment vertical="center"/>
    </xf>
    <xf numFmtId="0" fontId="7" fillId="7" borderId="0" xfId="0" quotePrefix="1" applyFont="1" applyFill="1" applyAlignment="1">
      <alignment horizontal="right" vertical="center"/>
    </xf>
    <xf numFmtId="0" fontId="9" fillId="0" borderId="0" xfId="0" applyFont="1" applyAlignment="1">
      <alignment horizontal="center" vertical="center"/>
    </xf>
    <xf numFmtId="0" fontId="9" fillId="0" borderId="0" xfId="0" applyFont="1" applyAlignment="1">
      <alignment horizontal="right" vertical="center"/>
    </xf>
    <xf numFmtId="170" fontId="7" fillId="8" borderId="0" xfId="1" applyNumberFormat="1" applyFont="1" applyFill="1" applyAlignment="1">
      <alignment horizontal="right" vertical="center"/>
    </xf>
    <xf numFmtId="169" fontId="7" fillId="8" borderId="0" xfId="1" applyNumberFormat="1" applyFont="1" applyFill="1" applyAlignment="1">
      <alignment horizontal="right" vertical="center"/>
    </xf>
    <xf numFmtId="169" fontId="0" fillId="8" borderId="0" xfId="0" applyNumberFormat="1" applyFill="1" applyAlignment="1">
      <alignment horizontal="right" vertical="center"/>
    </xf>
    <xf numFmtId="169" fontId="0" fillId="0" borderId="0" xfId="0" applyNumberFormat="1" applyAlignment="1">
      <alignment horizontal="right" vertical="center"/>
    </xf>
    <xf numFmtId="170" fontId="7" fillId="0" borderId="0" xfId="1" applyNumberFormat="1" applyFont="1" applyAlignment="1">
      <alignment horizontal="right" vertical="center"/>
    </xf>
    <xf numFmtId="169" fontId="7" fillId="0" borderId="0" xfId="1" applyNumberFormat="1" applyFont="1" applyAlignment="1">
      <alignment horizontal="right" vertical="center"/>
    </xf>
    <xf numFmtId="0" fontId="0" fillId="0" borderId="0" xfId="0" applyAlignment="1">
      <alignment vertical="center"/>
    </xf>
    <xf numFmtId="169" fontId="0" fillId="9" borderId="0" xfId="0" applyNumberFormat="1" applyFill="1" applyAlignment="1">
      <alignment horizontal="right" vertical="center"/>
    </xf>
    <xf numFmtId="166" fontId="0" fillId="0" borderId="0" xfId="0" applyNumberFormat="1" applyAlignment="1">
      <alignment vertical="center"/>
    </xf>
    <xf numFmtId="167" fontId="0" fillId="0" borderId="0" xfId="0" applyNumberFormat="1" applyAlignment="1">
      <alignment vertical="center"/>
    </xf>
    <xf numFmtId="40" fontId="0" fillId="0" borderId="0" xfId="0" applyNumberFormat="1" applyAlignment="1">
      <alignment vertical="center"/>
    </xf>
    <xf numFmtId="8" fontId="0" fillId="0" borderId="0" xfId="0" applyNumberFormat="1" applyAlignment="1">
      <alignment vertical="center"/>
    </xf>
    <xf numFmtId="169" fontId="0" fillId="10" borderId="0" xfId="0" applyNumberFormat="1" applyFill="1" applyAlignment="1">
      <alignment horizontal="right" vertical="center"/>
    </xf>
    <xf numFmtId="170" fontId="7" fillId="9" borderId="0" xfId="1" applyNumberFormat="1" applyFont="1" applyFill="1" applyAlignment="1">
      <alignment horizontal="right" vertical="center"/>
    </xf>
    <xf numFmtId="169" fontId="7" fillId="9" borderId="0" xfId="1" applyNumberFormat="1" applyFont="1" applyFill="1" applyAlignment="1">
      <alignment horizontal="right" vertical="center"/>
    </xf>
    <xf numFmtId="169" fontId="7" fillId="0" borderId="0" xfId="0" applyNumberFormat="1" applyFont="1" applyAlignment="1">
      <alignment horizontal="center" vertical="center"/>
    </xf>
    <xf numFmtId="6" fontId="0" fillId="0" borderId="0" xfId="0" applyNumberFormat="1" applyAlignment="1">
      <alignment horizontal="right" vertical="center"/>
    </xf>
    <xf numFmtId="170" fontId="7" fillId="11" borderId="0" xfId="1" applyNumberFormat="1" applyFont="1" applyFill="1" applyAlignment="1">
      <alignment horizontal="right" vertical="center"/>
    </xf>
    <xf numFmtId="169" fontId="7" fillId="11" borderId="0" xfId="1" applyNumberFormat="1" applyFont="1" applyFill="1" applyAlignment="1">
      <alignment horizontal="right" vertical="center"/>
    </xf>
    <xf numFmtId="170" fontId="7" fillId="7" borderId="0" xfId="1" applyNumberFormat="1" applyFont="1" applyFill="1" applyAlignment="1">
      <alignment horizontal="right" vertical="center"/>
    </xf>
    <xf numFmtId="169" fontId="7" fillId="7" borderId="0" xfId="1" applyNumberFormat="1" applyFont="1" applyFill="1" applyAlignment="1">
      <alignment horizontal="right" vertical="center"/>
    </xf>
    <xf numFmtId="0" fontId="7" fillId="0" borderId="0" xfId="0" applyFont="1" applyAlignment="1">
      <alignment horizontal="center" vertical="center" wrapText="1"/>
    </xf>
    <xf numFmtId="165" fontId="7" fillId="0" borderId="0" xfId="0" applyNumberFormat="1" applyFont="1" applyAlignment="1">
      <alignment horizontal="center" vertical="center" wrapText="1"/>
    </xf>
    <xf numFmtId="6" fontId="7" fillId="0" borderId="0" xfId="0" applyNumberFormat="1" applyFont="1" applyAlignment="1">
      <alignment horizontal="right" vertical="center" wrapText="1"/>
    </xf>
    <xf numFmtId="167" fontId="7" fillId="0" borderId="0" xfId="0" applyNumberFormat="1" applyFont="1" applyAlignment="1">
      <alignment horizontal="center" vertical="center" wrapText="1"/>
    </xf>
    <xf numFmtId="6" fontId="8" fillId="0" borderId="0" xfId="0" applyNumberFormat="1" applyFont="1" applyAlignment="1">
      <alignment horizontal="right" wrapText="1"/>
    </xf>
    <xf numFmtId="0" fontId="0" fillId="0" borderId="0" xfId="0" applyAlignment="1">
      <alignment horizontal="right" vertical="center"/>
    </xf>
    <xf numFmtId="174" fontId="0" fillId="0" borderId="0" xfId="0" applyNumberFormat="1" applyAlignment="1">
      <alignment horizontal="right" vertical="center"/>
    </xf>
    <xf numFmtId="171" fontId="8" fillId="0" borderId="0" xfId="1" applyNumberFormat="1" applyFont="1" applyAlignment="1">
      <alignment horizontal="right" vertical="center"/>
    </xf>
    <xf numFmtId="0" fontId="7" fillId="0" borderId="0" xfId="1" applyFont="1" applyAlignment="1">
      <alignment horizontal="right" vertical="center"/>
    </xf>
    <xf numFmtId="166" fontId="8" fillId="0" borderId="0" xfId="0" applyNumberFormat="1" applyFont="1" applyAlignment="1">
      <alignment horizontal="right" wrapText="1"/>
    </xf>
    <xf numFmtId="166" fontId="7" fillId="0" borderId="0" xfId="0" applyNumberFormat="1" applyFont="1" applyAlignment="1">
      <alignment horizontal="right" vertical="center" wrapText="1"/>
    </xf>
    <xf numFmtId="166" fontId="7" fillId="0" borderId="0" xfId="0" applyNumberFormat="1" applyFont="1" applyAlignment="1">
      <alignment horizontal="right" vertical="center"/>
    </xf>
    <xf numFmtId="166" fontId="0" fillId="0" borderId="0" xfId="0" applyNumberFormat="1" applyAlignment="1">
      <alignment horizontal="right" vertical="center"/>
    </xf>
    <xf numFmtId="166" fontId="8" fillId="0" borderId="0" xfId="0" applyNumberFormat="1" applyFont="1" applyAlignment="1">
      <alignment horizontal="right" vertical="center"/>
    </xf>
    <xf numFmtId="168" fontId="8" fillId="0" borderId="2" xfId="0" applyNumberFormat="1" applyFont="1" applyBorder="1" applyAlignment="1">
      <alignment horizontal="right" vertical="center"/>
    </xf>
    <xf numFmtId="166" fontId="7" fillId="7" borderId="0" xfId="0" applyNumberFormat="1" applyFont="1" applyFill="1" applyAlignment="1">
      <alignment horizontal="right" vertical="center"/>
    </xf>
    <xf numFmtId="0" fontId="8" fillId="0" borderId="0" xfId="1" applyFont="1" applyAlignment="1">
      <alignment horizontal="right" vertical="center"/>
    </xf>
    <xf numFmtId="40" fontId="7" fillId="0" borderId="0" xfId="0" applyNumberFormat="1" applyFont="1" applyAlignment="1">
      <alignment horizontal="right" vertical="center" wrapText="1"/>
    </xf>
    <xf numFmtId="40" fontId="7" fillId="0" borderId="0" xfId="0" applyNumberFormat="1" applyFont="1" applyAlignment="1">
      <alignment horizontal="right" vertical="center"/>
    </xf>
    <xf numFmtId="40" fontId="8" fillId="0" borderId="0" xfId="0" applyNumberFormat="1" applyFont="1" applyAlignment="1">
      <alignment horizontal="right" wrapText="1"/>
    </xf>
    <xf numFmtId="40" fontId="0" fillId="0" borderId="0" xfId="0" applyNumberFormat="1" applyAlignment="1">
      <alignment horizontal="right" vertical="center"/>
    </xf>
    <xf numFmtId="40" fontId="8" fillId="0" borderId="0" xfId="0" applyNumberFormat="1" applyFont="1" applyAlignment="1">
      <alignment horizontal="right" vertical="center"/>
    </xf>
    <xf numFmtId="40" fontId="8" fillId="0" borderId="2" xfId="0" applyNumberFormat="1" applyFont="1" applyBorder="1" applyAlignment="1">
      <alignment horizontal="right" vertical="center"/>
    </xf>
    <xf numFmtId="40" fontId="7" fillId="7" borderId="0" xfId="0" applyNumberFormat="1" applyFont="1" applyFill="1" applyAlignment="1">
      <alignment horizontal="right" vertical="center"/>
    </xf>
    <xf numFmtId="8" fontId="8" fillId="0" borderId="0" xfId="0" applyNumberFormat="1" applyFont="1" applyAlignment="1">
      <alignment horizontal="right" wrapText="1"/>
    </xf>
    <xf numFmtId="8" fontId="7" fillId="0" borderId="0" xfId="0" applyNumberFormat="1" applyFont="1" applyAlignment="1">
      <alignment horizontal="right" vertical="center" wrapText="1"/>
    </xf>
    <xf numFmtId="8" fontId="7" fillId="0" borderId="0" xfId="0" applyNumberFormat="1" applyFont="1" applyAlignment="1">
      <alignment horizontal="right" vertical="center"/>
    </xf>
    <xf numFmtId="8" fontId="8" fillId="0" borderId="0" xfId="0" applyNumberFormat="1" applyFont="1" applyAlignment="1">
      <alignment horizontal="right" vertical="center"/>
    </xf>
    <xf numFmtId="8" fontId="8" fillId="0" borderId="2" xfId="0" applyNumberFormat="1" applyFont="1" applyBorder="1" applyAlignment="1">
      <alignment horizontal="right" vertical="center"/>
    </xf>
    <xf numFmtId="8" fontId="7" fillId="7" borderId="0" xfId="0" applyNumberFormat="1" applyFont="1" applyFill="1" applyAlignment="1">
      <alignment horizontal="right" vertical="center"/>
    </xf>
    <xf numFmtId="0" fontId="8" fillId="0" borderId="0" xfId="0" applyFont="1" applyAlignment="1">
      <alignment horizontal="left" wrapText="1"/>
    </xf>
    <xf numFmtId="167" fontId="8" fillId="0" borderId="0" xfId="0" applyNumberFormat="1" applyFont="1" applyAlignment="1">
      <alignment horizontal="right" wrapText="1"/>
    </xf>
    <xf numFmtId="0" fontId="8" fillId="0" borderId="0" xfId="0" applyFont="1" applyAlignment="1">
      <alignment horizontal="left"/>
    </xf>
    <xf numFmtId="0" fontId="7" fillId="0" borderId="0" xfId="0" applyFont="1" applyAlignment="1">
      <alignment horizontal="center"/>
    </xf>
    <xf numFmtId="0" fontId="10" fillId="0" borderId="0" xfId="0" applyFont="1"/>
    <xf numFmtId="0" fontId="6" fillId="0" borderId="0" xfId="0" applyFont="1"/>
    <xf numFmtId="0" fontId="7" fillId="0" borderId="0" xfId="0" applyFont="1"/>
    <xf numFmtId="0" fontId="7" fillId="0" borderId="0" xfId="0" applyFont="1" applyAlignment="1">
      <alignment horizontal="left"/>
    </xf>
    <xf numFmtId="165" fontId="7" fillId="0" borderId="0" xfId="0" applyNumberFormat="1" applyFont="1" applyAlignment="1">
      <alignment horizontal="center"/>
    </xf>
    <xf numFmtId="6" fontId="7" fillId="0" borderId="0" xfId="0" applyNumberFormat="1" applyFont="1" applyAlignment="1">
      <alignment horizontal="right"/>
    </xf>
    <xf numFmtId="166" fontId="7" fillId="0" borderId="0" xfId="0" applyNumberFormat="1" applyFont="1" applyAlignment="1">
      <alignment horizontal="right"/>
    </xf>
    <xf numFmtId="167" fontId="7" fillId="0" borderId="0" xfId="0" applyNumberFormat="1" applyFont="1" applyAlignment="1">
      <alignment horizontal="right"/>
    </xf>
    <xf numFmtId="40" fontId="7" fillId="0" borderId="0" xfId="0" applyNumberFormat="1" applyFont="1" applyAlignment="1">
      <alignment horizontal="right"/>
    </xf>
    <xf numFmtId="8" fontId="7" fillId="0" borderId="0" xfId="0" applyNumberFormat="1" applyFont="1" applyAlignment="1">
      <alignment horizontal="right"/>
    </xf>
    <xf numFmtId="0" fontId="7" fillId="0" borderId="0" xfId="0" quotePrefix="1" applyFont="1" applyAlignment="1">
      <alignment horizontal="right"/>
    </xf>
    <xf numFmtId="37" fontId="5" fillId="0" borderId="0" xfId="3" applyNumberFormat="1" applyFont="1" applyFill="1" applyBorder="1" applyAlignment="1"/>
    <xf numFmtId="37" fontId="11" fillId="0" borderId="0" xfId="3" applyNumberFormat="1" applyFont="1" applyFill="1" applyBorder="1" applyAlignment="1"/>
    <xf numFmtId="37" fontId="11" fillId="0" borderId="3" xfId="3" applyNumberFormat="1" applyFont="1" applyFill="1" applyBorder="1" applyAlignment="1"/>
    <xf numFmtId="37" fontId="5" fillId="0" borderId="4" xfId="3" applyNumberFormat="1" applyFont="1" applyBorder="1" applyAlignment="1"/>
    <xf numFmtId="0" fontId="2" fillId="3" borderId="0" xfId="0" applyFont="1" applyFill="1" applyAlignment="1">
      <alignment horizontal="left"/>
    </xf>
    <xf numFmtId="165" fontId="2" fillId="3" borderId="0" xfId="0" applyNumberFormat="1" applyFont="1" applyFill="1" applyAlignment="1">
      <alignment horizontal="center"/>
    </xf>
    <xf numFmtId="6" fontId="2" fillId="3" borderId="0" xfId="0" applyNumberFormat="1" applyFont="1" applyFill="1" applyAlignment="1">
      <alignment horizontal="right"/>
    </xf>
    <xf numFmtId="0" fontId="2" fillId="3" borderId="0" xfId="0" applyFont="1" applyFill="1" applyAlignment="1">
      <alignment horizontal="center"/>
    </xf>
    <xf numFmtId="166" fontId="2" fillId="3" borderId="0" xfId="0" applyNumberFormat="1" applyFont="1" applyFill="1" applyAlignment="1">
      <alignment horizontal="right"/>
    </xf>
    <xf numFmtId="167" fontId="2" fillId="3" borderId="0" xfId="0" applyNumberFormat="1" applyFont="1" applyFill="1" applyAlignment="1">
      <alignment horizontal="right"/>
    </xf>
    <xf numFmtId="40" fontId="2" fillId="3" borderId="0" xfId="0" applyNumberFormat="1" applyFont="1" applyFill="1" applyAlignment="1">
      <alignment horizontal="right"/>
    </xf>
    <xf numFmtId="8" fontId="2" fillId="3" borderId="0" xfId="0" applyNumberFormat="1" applyFont="1" applyFill="1" applyAlignment="1">
      <alignment horizontal="right"/>
    </xf>
    <xf numFmtId="0" fontId="2" fillId="3" borderId="2" xfId="0" applyFont="1" applyFill="1" applyBorder="1" applyAlignment="1">
      <alignment horizontal="left"/>
    </xf>
    <xf numFmtId="165" fontId="2" fillId="3" borderId="2" xfId="0" applyNumberFormat="1" applyFont="1" applyFill="1" applyBorder="1" applyAlignment="1">
      <alignment horizontal="center"/>
    </xf>
    <xf numFmtId="6" fontId="2" fillId="3" borderId="2" xfId="0" applyNumberFormat="1" applyFont="1" applyFill="1" applyBorder="1" applyAlignment="1">
      <alignment horizontal="right"/>
    </xf>
    <xf numFmtId="0" fontId="2" fillId="3" borderId="2" xfId="0" applyFont="1" applyFill="1" applyBorder="1" applyAlignment="1">
      <alignment horizontal="center"/>
    </xf>
    <xf numFmtId="168" fontId="2" fillId="3" borderId="2" xfId="0" applyNumberFormat="1" applyFont="1" applyFill="1" applyBorder="1" applyAlignment="1">
      <alignment horizontal="right"/>
    </xf>
    <xf numFmtId="167" fontId="2" fillId="3" borderId="2" xfId="0" applyNumberFormat="1" applyFont="1" applyFill="1" applyBorder="1" applyAlignment="1">
      <alignment horizontal="right"/>
    </xf>
    <xf numFmtId="40" fontId="2" fillId="3" borderId="2" xfId="0" applyNumberFormat="1" applyFont="1" applyFill="1" applyBorder="1" applyAlignment="1">
      <alignment horizontal="right"/>
    </xf>
    <xf numFmtId="8" fontId="2" fillId="3" borderId="2" xfId="0" applyNumberFormat="1" applyFont="1" applyFill="1" applyBorder="1" applyAlignment="1">
      <alignment horizontal="right"/>
    </xf>
    <xf numFmtId="37" fontId="11" fillId="0" borderId="0" xfId="3" applyNumberFormat="1" applyFont="1" applyBorder="1" applyAlignment="1"/>
    <xf numFmtId="0" fontId="0" fillId="0" borderId="0" xfId="0" applyAlignment="1">
      <alignment horizontal="left"/>
    </xf>
    <xf numFmtId="6" fontId="0" fillId="0" borderId="0" xfId="0" applyNumberFormat="1" applyAlignment="1">
      <alignment horizontal="right"/>
    </xf>
    <xf numFmtId="166" fontId="0" fillId="0" borderId="0" xfId="0" applyNumberFormat="1" applyAlignment="1">
      <alignment horizontal="right"/>
    </xf>
    <xf numFmtId="167" fontId="0" fillId="0" borderId="0" xfId="0" applyNumberFormat="1" applyAlignment="1">
      <alignment horizontal="right"/>
    </xf>
    <xf numFmtId="40" fontId="0" fillId="0" borderId="0" xfId="0" applyNumberFormat="1" applyAlignment="1">
      <alignment horizontal="right"/>
    </xf>
    <xf numFmtId="8" fontId="0" fillId="0" borderId="0" xfId="0" applyNumberFormat="1" applyAlignment="1">
      <alignment horizontal="right"/>
    </xf>
    <xf numFmtId="0" fontId="7" fillId="0" borderId="0" xfId="0" quotePrefix="1" applyFont="1" applyAlignment="1">
      <alignment horizontal="left"/>
    </xf>
    <xf numFmtId="0" fontId="7" fillId="0" borderId="0" xfId="0" applyFont="1" applyAlignment="1">
      <alignment wrapText="1"/>
    </xf>
    <xf numFmtId="37" fontId="11" fillId="0" borderId="5" xfId="3" applyNumberFormat="1" applyFont="1" applyFill="1" applyBorder="1" applyAlignment="1"/>
    <xf numFmtId="37" fontId="5" fillId="0" borderId="6" xfId="3" applyNumberFormat="1" applyFont="1" applyBorder="1" applyAlignment="1"/>
    <xf numFmtId="0" fontId="9" fillId="0" borderId="0" xfId="0" applyFont="1" applyAlignment="1">
      <alignment horizontal="left"/>
    </xf>
    <xf numFmtId="170" fontId="7" fillId="8" borderId="0" xfId="1" applyNumberFormat="1" applyFont="1" applyFill="1" applyAlignment="1">
      <alignment horizontal="right"/>
    </xf>
    <xf numFmtId="169" fontId="7" fillId="8" borderId="0" xfId="1" applyNumberFormat="1" applyFont="1" applyFill="1" applyAlignment="1">
      <alignment horizontal="right"/>
    </xf>
    <xf numFmtId="169" fontId="0" fillId="8" borderId="0" xfId="0" applyNumberFormat="1" applyFill="1" applyAlignment="1">
      <alignment horizontal="center"/>
    </xf>
    <xf numFmtId="169" fontId="0" fillId="9" borderId="0" xfId="0" applyNumberFormat="1" applyFill="1" applyAlignment="1">
      <alignment horizontal="center"/>
    </xf>
    <xf numFmtId="169" fontId="0" fillId="0" borderId="0" xfId="0" applyNumberFormat="1" applyAlignment="1">
      <alignment horizontal="center"/>
    </xf>
    <xf numFmtId="170" fontId="7" fillId="9" borderId="0" xfId="1" applyNumberFormat="1" applyFont="1" applyFill="1" applyAlignment="1">
      <alignment horizontal="right"/>
    </xf>
    <xf numFmtId="169" fontId="7" fillId="9" borderId="0" xfId="1" applyNumberFormat="1" applyFont="1" applyFill="1" applyAlignment="1">
      <alignment horizontal="right"/>
    </xf>
    <xf numFmtId="0" fontId="8" fillId="0" borderId="7" xfId="0" applyFont="1" applyBorder="1" applyAlignment="1">
      <alignment horizontal="left" wrapText="1"/>
    </xf>
    <xf numFmtId="0" fontId="8" fillId="0" borderId="7" xfId="0" applyFont="1" applyBorder="1" applyAlignment="1">
      <alignment horizontal="center" wrapText="1"/>
    </xf>
    <xf numFmtId="165" fontId="8" fillId="0" borderId="7" xfId="0" applyNumberFormat="1" applyFont="1" applyBorder="1" applyAlignment="1">
      <alignment horizontal="center" wrapText="1"/>
    </xf>
    <xf numFmtId="6" fontId="8" fillId="0" borderId="7" xfId="0" applyNumberFormat="1" applyFont="1" applyBorder="1" applyAlignment="1">
      <alignment horizontal="right" wrapText="1"/>
    </xf>
    <xf numFmtId="166" fontId="8" fillId="0" borderId="7" xfId="0" applyNumberFormat="1" applyFont="1" applyBorder="1" applyAlignment="1">
      <alignment horizontal="right" wrapText="1"/>
    </xf>
    <xf numFmtId="167" fontId="8" fillId="0" borderId="7" xfId="0" applyNumberFormat="1" applyFont="1" applyBorder="1" applyAlignment="1">
      <alignment horizontal="right" wrapText="1"/>
    </xf>
    <xf numFmtId="40" fontId="8" fillId="0" borderId="7" xfId="0" applyNumberFormat="1" applyFont="1" applyBorder="1" applyAlignment="1">
      <alignment horizontal="right" wrapText="1"/>
    </xf>
    <xf numFmtId="8" fontId="8" fillId="0" borderId="7" xfId="0" applyNumberFormat="1" applyFont="1" applyBorder="1" applyAlignment="1">
      <alignment horizontal="right" wrapText="1"/>
    </xf>
    <xf numFmtId="0" fontId="8" fillId="0" borderId="7" xfId="0" applyFont="1" applyBorder="1" applyAlignment="1">
      <alignment horizontal="right"/>
    </xf>
    <xf numFmtId="0" fontId="8" fillId="0" borderId="7" xfId="0" applyFont="1" applyBorder="1" applyAlignment="1">
      <alignment horizontal="left"/>
    </xf>
    <xf numFmtId="0" fontId="7" fillId="0" borderId="0" xfId="0" applyFont="1" applyAlignment="1">
      <alignment horizontal="center" wrapText="1"/>
    </xf>
    <xf numFmtId="165" fontId="7" fillId="0" borderId="0" xfId="0" applyNumberFormat="1" applyFont="1" applyAlignment="1">
      <alignment vertical="center"/>
    </xf>
    <xf numFmtId="37" fontId="5" fillId="0" borderId="4" xfId="3" applyNumberFormat="1" applyFont="1" applyFill="1" applyBorder="1" applyAlignment="1"/>
    <xf numFmtId="0" fontId="8" fillId="0" borderId="0" xfId="0" applyFont="1"/>
    <xf numFmtId="165" fontId="8" fillId="0" borderId="0" xfId="0" applyNumberFormat="1" applyFont="1"/>
    <xf numFmtId="6" fontId="8" fillId="0" borderId="0" xfId="0" applyNumberFormat="1" applyFont="1"/>
    <xf numFmtId="166" fontId="8" fillId="0" borderId="0" xfId="0" applyNumberFormat="1" applyFont="1"/>
    <xf numFmtId="167" fontId="8" fillId="0" borderId="0" xfId="0" applyNumberFormat="1" applyFont="1"/>
    <xf numFmtId="40" fontId="8" fillId="0" borderId="0" xfId="0" applyNumberFormat="1" applyFont="1"/>
    <xf numFmtId="8" fontId="8" fillId="0" borderId="0" xfId="0" applyNumberFormat="1" applyFont="1"/>
    <xf numFmtId="0" fontId="8" fillId="0" borderId="2" xfId="0" applyFont="1" applyBorder="1"/>
    <xf numFmtId="165" fontId="8" fillId="0" borderId="2" xfId="0" applyNumberFormat="1" applyFont="1" applyBorder="1"/>
    <xf numFmtId="6" fontId="8" fillId="0" borderId="2" xfId="0" applyNumberFormat="1" applyFont="1" applyBorder="1"/>
    <xf numFmtId="168" fontId="8" fillId="0" borderId="2" xfId="0" applyNumberFormat="1" applyFont="1" applyBorder="1"/>
    <xf numFmtId="167" fontId="8" fillId="0" borderId="2" xfId="0" applyNumberFormat="1" applyFont="1" applyBorder="1"/>
    <xf numFmtId="40" fontId="8" fillId="0" borderId="2" xfId="0" applyNumberFormat="1" applyFont="1" applyBorder="1"/>
    <xf numFmtId="8" fontId="8" fillId="0" borderId="2" xfId="0" applyNumberFormat="1" applyFont="1" applyBorder="1"/>
    <xf numFmtId="0" fontId="8" fillId="0" borderId="2" xfId="0" applyFont="1" applyBorder="1" applyAlignment="1">
      <alignment horizontal="right"/>
    </xf>
    <xf numFmtId="37" fontId="5" fillId="0" borderId="6" xfId="3" applyNumberFormat="1" applyFont="1" applyFill="1" applyBorder="1" applyAlignment="1"/>
    <xf numFmtId="165" fontId="7" fillId="0" borderId="0" xfId="0" applyNumberFormat="1" applyFont="1"/>
    <xf numFmtId="6" fontId="7" fillId="0" borderId="0" xfId="0" applyNumberFormat="1" applyFont="1"/>
    <xf numFmtId="166" fontId="7" fillId="0" borderId="0" xfId="0" applyNumberFormat="1" applyFont="1"/>
    <xf numFmtId="167" fontId="7" fillId="0" borderId="0" xfId="0" applyNumberFormat="1" applyFont="1"/>
    <xf numFmtId="40" fontId="7" fillId="0" borderId="0" xfId="0" applyNumberFormat="1" applyFont="1"/>
    <xf numFmtId="8" fontId="7" fillId="0" borderId="0" xfId="0" applyNumberFormat="1" applyFont="1"/>
    <xf numFmtId="169" fontId="0" fillId="12" borderId="0" xfId="0" applyNumberFormat="1" applyFill="1" applyAlignment="1">
      <alignment horizontal="center"/>
    </xf>
    <xf numFmtId="170" fontId="7" fillId="12" borderId="0" xfId="1" applyNumberFormat="1" applyFont="1" applyFill="1" applyAlignment="1">
      <alignment horizontal="right"/>
    </xf>
    <xf numFmtId="169" fontId="7" fillId="12" borderId="0" xfId="1" applyNumberFormat="1" applyFont="1" applyFill="1" applyAlignment="1">
      <alignment horizontal="right"/>
    </xf>
    <xf numFmtId="171" fontId="8" fillId="0" borderId="0" xfId="1" applyNumberFormat="1" applyFont="1" applyAlignment="1">
      <alignment horizontal="center"/>
    </xf>
    <xf numFmtId="0" fontId="8" fillId="0" borderId="0" xfId="1" applyFont="1" applyAlignment="1">
      <alignment horizontal="center"/>
    </xf>
    <xf numFmtId="0" fontId="7" fillId="0" borderId="0" xfId="1" applyFont="1"/>
    <xf numFmtId="0" fontId="8" fillId="0" borderId="0" xfId="0" applyFont="1" applyAlignment="1">
      <alignment wrapText="1"/>
    </xf>
    <xf numFmtId="0" fontId="8" fillId="0" borderId="2" xfId="0" applyFont="1" applyBorder="1" applyAlignment="1">
      <alignment wrapText="1"/>
    </xf>
    <xf numFmtId="37" fontId="7" fillId="0" borderId="0" xfId="0" applyNumberFormat="1" applyFont="1"/>
    <xf numFmtId="170" fontId="7" fillId="13" borderId="0" xfId="1" applyNumberFormat="1" applyFont="1" applyFill="1" applyAlignment="1">
      <alignment horizontal="right"/>
    </xf>
    <xf numFmtId="169" fontId="7" fillId="13" borderId="0" xfId="1" applyNumberFormat="1" applyFont="1" applyFill="1" applyAlignment="1">
      <alignment horizontal="right"/>
    </xf>
    <xf numFmtId="0" fontId="8" fillId="0" borderId="8" xfId="0" applyFont="1" applyBorder="1" applyAlignment="1">
      <alignment horizontal="center" wrapText="1"/>
    </xf>
    <xf numFmtId="0" fontId="8" fillId="0" borderId="9" xfId="0" applyFont="1" applyBorder="1" applyAlignment="1">
      <alignment horizontal="center" wrapText="1"/>
    </xf>
    <xf numFmtId="165" fontId="8" fillId="0" borderId="10" xfId="0" applyNumberFormat="1" applyFont="1" applyBorder="1" applyAlignment="1">
      <alignment horizontal="center" wrapText="1"/>
    </xf>
    <xf numFmtId="6" fontId="8" fillId="0" borderId="10" xfId="0" applyNumberFormat="1" applyFont="1" applyBorder="1" applyAlignment="1">
      <alignment horizontal="center" wrapText="1"/>
    </xf>
    <xf numFmtId="0" fontId="8" fillId="0" borderId="10" xfId="0" applyFont="1" applyBorder="1" applyAlignment="1">
      <alignment horizontal="center" wrapText="1"/>
    </xf>
    <xf numFmtId="6" fontId="8" fillId="0" borderId="11" xfId="0" applyNumberFormat="1" applyFont="1" applyBorder="1" applyAlignment="1">
      <alignment horizontal="center" wrapText="1"/>
    </xf>
    <xf numFmtId="166" fontId="8" fillId="0" borderId="10" xfId="0" applyNumberFormat="1" applyFont="1" applyBorder="1" applyAlignment="1">
      <alignment horizontal="center" wrapText="1"/>
    </xf>
    <xf numFmtId="167" fontId="8" fillId="0" borderId="10" xfId="0" applyNumberFormat="1" applyFont="1" applyBorder="1" applyAlignment="1">
      <alignment horizontal="center" wrapText="1"/>
    </xf>
    <xf numFmtId="40" fontId="8" fillId="0" borderId="10" xfId="0" applyNumberFormat="1" applyFont="1" applyBorder="1" applyAlignment="1">
      <alignment horizontal="center" wrapText="1"/>
    </xf>
    <xf numFmtId="8" fontId="8" fillId="0" borderId="10" xfId="0" applyNumberFormat="1" applyFont="1" applyBorder="1" applyAlignment="1">
      <alignment horizontal="center" wrapText="1"/>
    </xf>
    <xf numFmtId="0" fontId="8" fillId="0" borderId="10" xfId="0" applyFont="1" applyBorder="1" applyAlignment="1">
      <alignment horizontal="right"/>
    </xf>
    <xf numFmtId="0" fontId="8" fillId="0" borderId="12" xfId="0" applyFont="1" applyBorder="1" applyAlignment="1">
      <alignment horizontal="center"/>
    </xf>
    <xf numFmtId="0" fontId="14" fillId="0" borderId="0" xfId="0" applyFont="1" applyAlignment="1">
      <alignment horizontal="center"/>
    </xf>
    <xf numFmtId="0" fontId="14" fillId="0" borderId="0" xfId="0" applyFont="1"/>
    <xf numFmtId="6" fontId="7" fillId="0" borderId="11" xfId="0" applyNumberFormat="1" applyFont="1" applyBorder="1"/>
    <xf numFmtId="165" fontId="8" fillId="0" borderId="0" xfId="0" applyNumberFormat="1" applyFont="1" applyAlignment="1">
      <alignment horizontal="center"/>
    </xf>
    <xf numFmtId="0" fontId="8" fillId="3" borderId="0" xfId="0" applyFont="1" applyFill="1"/>
    <xf numFmtId="165" fontId="8" fillId="3" borderId="0" xfId="0" applyNumberFormat="1" applyFont="1" applyFill="1" applyAlignment="1">
      <alignment horizontal="center"/>
    </xf>
    <xf numFmtId="6" fontId="8" fillId="3" borderId="0" xfId="0" applyNumberFormat="1" applyFont="1" applyFill="1"/>
    <xf numFmtId="166" fontId="8" fillId="3" borderId="0" xfId="0" applyNumberFormat="1" applyFont="1" applyFill="1"/>
    <xf numFmtId="167" fontId="8" fillId="3" borderId="0" xfId="0" applyNumberFormat="1" applyFont="1" applyFill="1"/>
    <xf numFmtId="40" fontId="8" fillId="3" borderId="0" xfId="0" applyNumberFormat="1" applyFont="1" applyFill="1"/>
    <xf numFmtId="8" fontId="8" fillId="3" borderId="0" xfId="0" applyNumberFormat="1" applyFont="1" applyFill="1"/>
    <xf numFmtId="0" fontId="8" fillId="3" borderId="0" xfId="0" applyFont="1" applyFill="1" applyAlignment="1">
      <alignment horizontal="right"/>
    </xf>
    <xf numFmtId="0" fontId="8" fillId="3" borderId="2" xfId="0" applyFont="1" applyFill="1" applyBorder="1"/>
    <xf numFmtId="165" fontId="8" fillId="3" borderId="2" xfId="0" applyNumberFormat="1" applyFont="1" applyFill="1" applyBorder="1" applyAlignment="1">
      <alignment horizontal="center"/>
    </xf>
    <xf numFmtId="6" fontId="8" fillId="3" borderId="2" xfId="0" applyNumberFormat="1" applyFont="1" applyFill="1" applyBorder="1"/>
    <xf numFmtId="168" fontId="8" fillId="3" borderId="2" xfId="0" applyNumberFormat="1" applyFont="1" applyFill="1" applyBorder="1"/>
    <xf numFmtId="167" fontId="8" fillId="3" borderId="2" xfId="0" applyNumberFormat="1" applyFont="1" applyFill="1" applyBorder="1"/>
    <xf numFmtId="40" fontId="8" fillId="3" borderId="2" xfId="0" applyNumberFormat="1" applyFont="1" applyFill="1" applyBorder="1"/>
    <xf numFmtId="8" fontId="8" fillId="3" borderId="2" xfId="0" applyNumberFormat="1" applyFont="1" applyFill="1" applyBorder="1"/>
    <xf numFmtId="0" fontId="8" fillId="3" borderId="2" xfId="0" applyFont="1" applyFill="1" applyBorder="1" applyAlignment="1">
      <alignment horizontal="right"/>
    </xf>
    <xf numFmtId="0" fontId="6" fillId="0" borderId="0" xfId="0" applyFont="1" applyAlignment="1">
      <alignment horizontal="right"/>
    </xf>
    <xf numFmtId="14" fontId="6" fillId="0" borderId="0" xfId="0" applyNumberFormat="1" applyFont="1" applyAlignment="1">
      <alignment horizontal="right"/>
    </xf>
    <xf numFmtId="170" fontId="7" fillId="14" borderId="0" xfId="1" applyNumberFormat="1" applyFont="1" applyFill="1" applyAlignment="1">
      <alignment horizontal="right"/>
    </xf>
    <xf numFmtId="169" fontId="7" fillId="14" borderId="0" xfId="1" applyNumberFormat="1" applyFont="1" applyFill="1" applyAlignment="1">
      <alignment horizontal="right"/>
    </xf>
    <xf numFmtId="169" fontId="7" fillId="0" borderId="0" xfId="0" applyNumberFormat="1" applyFont="1"/>
    <xf numFmtId="164" fontId="7" fillId="0" borderId="0" xfId="0" applyNumberFormat="1" applyFont="1"/>
    <xf numFmtId="0" fontId="15" fillId="0" borderId="0" xfId="0" applyFont="1" applyAlignment="1">
      <alignment wrapText="1"/>
    </xf>
    <xf numFmtId="2" fontId="7" fillId="0" borderId="0" xfId="0" applyNumberFormat="1" applyFont="1" applyAlignment="1">
      <alignment horizontal="right"/>
    </xf>
    <xf numFmtId="175" fontId="7" fillId="0" borderId="0" xfId="0" applyNumberFormat="1" applyFont="1"/>
    <xf numFmtId="173" fontId="7" fillId="0" borderId="0" xfId="0" applyNumberFormat="1" applyFont="1"/>
    <xf numFmtId="37" fontId="16" fillId="0" borderId="0" xfId="3" applyNumberFormat="1" applyFont="1" applyFill="1" applyBorder="1"/>
    <xf numFmtId="37" fontId="16" fillId="0" borderId="3" xfId="3" applyNumberFormat="1" applyFont="1" applyFill="1" applyBorder="1"/>
    <xf numFmtId="37" fontId="16" fillId="0" borderId="0" xfId="3" applyNumberFormat="1" applyFont="1" applyBorder="1"/>
    <xf numFmtId="0" fontId="7" fillId="0" borderId="2" xfId="0" applyFont="1" applyBorder="1" applyAlignment="1">
      <alignment horizontal="left"/>
    </xf>
    <xf numFmtId="0" fontId="7" fillId="0" borderId="2" xfId="0" applyFont="1" applyBorder="1"/>
    <xf numFmtId="165" fontId="7" fillId="0" borderId="2" xfId="0" applyNumberFormat="1" applyFont="1" applyBorder="1" applyAlignment="1">
      <alignment horizontal="center"/>
    </xf>
    <xf numFmtId="6" fontId="7" fillId="0" borderId="2" xfId="0" applyNumberFormat="1" applyFont="1" applyBorder="1"/>
    <xf numFmtId="0" fontId="7" fillId="0" borderId="2" xfId="0" applyFont="1" applyBorder="1" applyAlignment="1">
      <alignment horizontal="center"/>
    </xf>
    <xf numFmtId="0" fontId="7" fillId="0" borderId="2" xfId="0" applyFont="1" applyBorder="1" applyAlignment="1">
      <alignment horizontal="right"/>
    </xf>
    <xf numFmtId="169" fontId="7" fillId="0" borderId="2" xfId="0" applyNumberFormat="1" applyFont="1" applyBorder="1"/>
    <xf numFmtId="173" fontId="7" fillId="0" borderId="2" xfId="0" applyNumberFormat="1" applyFont="1" applyBorder="1"/>
    <xf numFmtId="0" fontId="7" fillId="0" borderId="2" xfId="0" applyFont="1" applyBorder="1" applyAlignment="1">
      <alignment wrapText="1"/>
    </xf>
    <xf numFmtId="0" fontId="17" fillId="0" borderId="0" xfId="0" applyFont="1"/>
    <xf numFmtId="169" fontId="7" fillId="0" borderId="0" xfId="0" applyNumberFormat="1" applyFont="1" applyAlignment="1">
      <alignment horizontal="center"/>
    </xf>
    <xf numFmtId="6" fontId="7" fillId="0" borderId="0" xfId="0" applyNumberFormat="1" applyFont="1" applyAlignment="1">
      <alignment horizontal="center"/>
    </xf>
    <xf numFmtId="37" fontId="16" fillId="0" borderId="5" xfId="3" applyNumberFormat="1" applyFont="1" applyFill="1" applyBorder="1"/>
    <xf numFmtId="0" fontId="7" fillId="0" borderId="0" xfId="0" applyFont="1" applyAlignment="1">
      <alignment horizontal="right" wrapText="1"/>
    </xf>
    <xf numFmtId="0" fontId="0" fillId="0" borderId="0" xfId="0" applyAlignment="1">
      <alignment horizontal="left" vertical="top" wrapText="1"/>
    </xf>
    <xf numFmtId="0" fontId="3" fillId="0" borderId="0" xfId="0" applyFont="1"/>
    <xf numFmtId="0" fontId="0" fillId="0" borderId="0" xfId="0" applyAlignment="1">
      <alignment vertical="top"/>
    </xf>
    <xf numFmtId="0" fontId="0" fillId="0" borderId="0" xfId="0" applyAlignment="1">
      <alignment horizontal="center" wrapText="1"/>
    </xf>
    <xf numFmtId="0" fontId="0" fillId="0" borderId="0" xfId="0" applyAlignment="1">
      <alignment wrapText="1"/>
    </xf>
    <xf numFmtId="14" fontId="9" fillId="0" borderId="0" xfId="0" applyNumberFormat="1" applyFont="1" applyAlignment="1">
      <alignment horizontal="left"/>
    </xf>
    <xf numFmtId="170" fontId="18" fillId="15" borderId="0" xfId="1" applyNumberFormat="1" applyFont="1" applyFill="1" applyAlignment="1">
      <alignment horizontal="right"/>
    </xf>
    <xf numFmtId="169" fontId="7" fillId="15" borderId="0" xfId="1" applyNumberFormat="1" applyFont="1" applyFill="1" applyAlignment="1">
      <alignment horizontal="right"/>
    </xf>
    <xf numFmtId="0" fontId="0" fillId="15" borderId="0" xfId="0" applyFill="1" applyAlignment="1">
      <alignment horizontal="left"/>
    </xf>
    <xf numFmtId="169" fontId="0" fillId="15" borderId="0" xfId="0" applyNumberFormat="1" applyFill="1" applyAlignment="1">
      <alignment horizontal="left"/>
    </xf>
    <xf numFmtId="171" fontId="19" fillId="0" borderId="0" xfId="1" applyNumberFormat="1" applyFont="1" applyAlignment="1">
      <alignment horizontal="right"/>
    </xf>
    <xf numFmtId="0" fontId="19" fillId="0" borderId="0" xfId="1" applyFont="1" applyAlignment="1">
      <alignment horizontal="right"/>
    </xf>
    <xf numFmtId="170" fontId="18" fillId="0" borderId="0" xfId="1" applyNumberFormat="1" applyFont="1" applyAlignment="1">
      <alignment horizontal="right"/>
    </xf>
    <xf numFmtId="169" fontId="0" fillId="0" borderId="0" xfId="0" applyNumberFormat="1" applyAlignment="1">
      <alignment horizontal="left"/>
    </xf>
    <xf numFmtId="176" fontId="0" fillId="0" borderId="0" xfId="0" applyNumberFormat="1" applyAlignment="1">
      <alignment horizontal="right"/>
    </xf>
    <xf numFmtId="0" fontId="7" fillId="0" borderId="0" xfId="0" applyFont="1" applyAlignment="1">
      <alignment horizontal="left" wrapText="1"/>
    </xf>
    <xf numFmtId="165" fontId="7" fillId="0" borderId="0" xfId="0" applyNumberFormat="1" applyFont="1" applyAlignment="1">
      <alignment horizontal="center" wrapText="1"/>
    </xf>
    <xf numFmtId="6" fontId="7" fillId="0" borderId="0" xfId="0" applyNumberFormat="1" applyFont="1" applyAlignment="1">
      <alignment horizontal="right" wrapText="1"/>
    </xf>
    <xf numFmtId="166" fontId="7" fillId="0" borderId="0" xfId="0" applyNumberFormat="1" applyFont="1" applyAlignment="1">
      <alignment horizontal="right" wrapText="1"/>
    </xf>
    <xf numFmtId="167" fontId="7" fillId="0" borderId="0" xfId="0" applyNumberFormat="1" applyFont="1" applyAlignment="1">
      <alignment horizontal="right" wrapText="1"/>
    </xf>
    <xf numFmtId="40" fontId="7" fillId="0" borderId="0" xfId="0" applyNumberFormat="1" applyFont="1" applyAlignment="1">
      <alignment horizontal="right" wrapText="1"/>
    </xf>
    <xf numFmtId="8" fontId="7" fillId="0" borderId="0" xfId="0" applyNumberFormat="1" applyFont="1" applyAlignment="1">
      <alignment horizontal="right" wrapText="1"/>
    </xf>
    <xf numFmtId="37" fontId="5" fillId="0" borderId="0" xfId="3" applyNumberFormat="1" applyFont="1" applyBorder="1"/>
    <xf numFmtId="0" fontId="7" fillId="0" borderId="13" xfId="0" applyFont="1" applyBorder="1" applyAlignment="1">
      <alignment horizontal="left" wrapText="1"/>
    </xf>
    <xf numFmtId="0" fontId="7" fillId="0" borderId="14" xfId="0" applyFont="1" applyBorder="1" applyAlignment="1">
      <alignment horizontal="left" wrapText="1"/>
    </xf>
    <xf numFmtId="165" fontId="7" fillId="0" borderId="14" xfId="0" applyNumberFormat="1" applyFont="1" applyBorder="1" applyAlignment="1">
      <alignment horizontal="center" wrapText="1"/>
    </xf>
    <xf numFmtId="6" fontId="7" fillId="0" borderId="14" xfId="0" applyNumberFormat="1" applyFont="1" applyBorder="1" applyAlignment="1">
      <alignment horizontal="right" wrapText="1"/>
    </xf>
    <xf numFmtId="0" fontId="7" fillId="0" borderId="14" xfId="0" applyFont="1" applyBorder="1" applyAlignment="1">
      <alignment horizontal="center" wrapText="1"/>
    </xf>
    <xf numFmtId="166" fontId="7" fillId="0" borderId="14" xfId="0" applyNumberFormat="1" applyFont="1" applyBorder="1" applyAlignment="1">
      <alignment horizontal="right" wrapText="1"/>
    </xf>
    <xf numFmtId="167" fontId="7" fillId="0" borderId="14" xfId="0" applyNumberFormat="1" applyFont="1" applyBorder="1" applyAlignment="1">
      <alignment horizontal="right" wrapText="1"/>
    </xf>
    <xf numFmtId="40" fontId="7" fillId="0" borderId="14" xfId="0" applyNumberFormat="1" applyFont="1" applyBorder="1" applyAlignment="1">
      <alignment horizontal="right" wrapText="1"/>
    </xf>
    <xf numFmtId="8" fontId="7" fillId="0" borderId="14" xfId="0" applyNumberFormat="1" applyFont="1" applyBorder="1" applyAlignment="1">
      <alignment horizontal="right" wrapText="1"/>
    </xf>
    <xf numFmtId="0" fontId="7" fillId="0" borderId="14" xfId="0" applyFont="1" applyBorder="1" applyAlignment="1">
      <alignment horizontal="right"/>
    </xf>
    <xf numFmtId="0" fontId="7" fillId="0" borderId="15" xfId="0" applyFont="1" applyBorder="1" applyAlignment="1">
      <alignment horizontal="center" wrapText="1"/>
    </xf>
    <xf numFmtId="0" fontId="7" fillId="16" borderId="16" xfId="0" applyFont="1" applyFill="1" applyBorder="1" applyAlignment="1">
      <alignment horizontal="left" wrapText="1"/>
    </xf>
    <xf numFmtId="0" fontId="7" fillId="16" borderId="2" xfId="0" applyFont="1" applyFill="1" applyBorder="1" applyAlignment="1">
      <alignment horizontal="left" wrapText="1"/>
    </xf>
    <xf numFmtId="165" fontId="7" fillId="16" borderId="2" xfId="0" applyNumberFormat="1" applyFont="1" applyFill="1" applyBorder="1" applyAlignment="1">
      <alignment horizontal="center" wrapText="1"/>
    </xf>
    <xf numFmtId="6" fontId="7" fillId="16" borderId="2" xfId="0" applyNumberFormat="1" applyFont="1" applyFill="1" applyBorder="1" applyAlignment="1">
      <alignment horizontal="right" wrapText="1"/>
    </xf>
    <xf numFmtId="0" fontId="7" fillId="16" borderId="2" xfId="0" applyFont="1" applyFill="1" applyBorder="1" applyAlignment="1">
      <alignment horizontal="center" wrapText="1"/>
    </xf>
    <xf numFmtId="166" fontId="7" fillId="16" borderId="2" xfId="0" applyNumberFormat="1" applyFont="1" applyFill="1" applyBorder="1" applyAlignment="1">
      <alignment horizontal="right" wrapText="1"/>
    </xf>
    <xf numFmtId="167" fontId="7" fillId="16" borderId="2" xfId="0" applyNumberFormat="1" applyFont="1" applyFill="1" applyBorder="1" applyAlignment="1">
      <alignment horizontal="right" wrapText="1"/>
    </xf>
    <xf numFmtId="40" fontId="7" fillId="16" borderId="2" xfId="0" applyNumberFormat="1" applyFont="1" applyFill="1" applyBorder="1" applyAlignment="1">
      <alignment horizontal="right" wrapText="1"/>
    </xf>
    <xf numFmtId="8" fontId="7" fillId="16" borderId="2" xfId="0" applyNumberFormat="1" applyFont="1" applyFill="1" applyBorder="1" applyAlignment="1">
      <alignment horizontal="right" wrapText="1"/>
    </xf>
    <xf numFmtId="0" fontId="7" fillId="16" borderId="2" xfId="0" applyFont="1" applyFill="1" applyBorder="1" applyAlignment="1">
      <alignment horizontal="right"/>
    </xf>
    <xf numFmtId="0" fontId="7" fillId="16" borderId="17" xfId="0" applyFont="1" applyFill="1" applyBorder="1" applyAlignment="1">
      <alignment horizontal="center" wrapText="1"/>
    </xf>
    <xf numFmtId="0" fontId="7" fillId="16" borderId="0" xfId="0" applyFont="1" applyFill="1" applyAlignment="1">
      <alignment horizontal="right"/>
    </xf>
    <xf numFmtId="0" fontId="7" fillId="16" borderId="0" xfId="0" applyFont="1" applyFill="1" applyAlignment="1">
      <alignment horizontal="left"/>
    </xf>
    <xf numFmtId="165" fontId="7" fillId="16" borderId="0" xfId="0" applyNumberFormat="1" applyFont="1" applyFill="1" applyAlignment="1">
      <alignment horizontal="center"/>
    </xf>
    <xf numFmtId="6" fontId="7" fillId="16" borderId="0" xfId="0" applyNumberFormat="1" applyFont="1" applyFill="1" applyAlignment="1">
      <alignment horizontal="right"/>
    </xf>
    <xf numFmtId="0" fontId="7" fillId="16" borderId="0" xfId="0" applyFont="1" applyFill="1" applyAlignment="1">
      <alignment horizontal="center"/>
    </xf>
    <xf numFmtId="166" fontId="7" fillId="16" borderId="0" xfId="0" applyNumberFormat="1" applyFont="1" applyFill="1" applyAlignment="1">
      <alignment horizontal="right"/>
    </xf>
    <xf numFmtId="167" fontId="7" fillId="16" borderId="0" xfId="0" applyNumberFormat="1" applyFont="1" applyFill="1" applyAlignment="1">
      <alignment horizontal="right"/>
    </xf>
    <xf numFmtId="40" fontId="7" fillId="16" borderId="0" xfId="0" applyNumberFormat="1" applyFont="1" applyFill="1" applyAlignment="1">
      <alignment horizontal="right"/>
    </xf>
    <xf numFmtId="8" fontId="7" fillId="16" borderId="0" xfId="0" applyNumberFormat="1" applyFont="1" applyFill="1" applyAlignment="1">
      <alignment horizontal="right"/>
    </xf>
    <xf numFmtId="0" fontId="8" fillId="16" borderId="0" xfId="0" applyFont="1" applyFill="1" applyAlignment="1">
      <alignment horizontal="left"/>
    </xf>
    <xf numFmtId="168" fontId="8" fillId="0" borderId="0" xfId="0" applyNumberFormat="1" applyFont="1" applyAlignment="1">
      <alignment horizontal="right" vertical="center"/>
    </xf>
    <xf numFmtId="169" fontId="6" fillId="0" borderId="0" xfId="1" applyNumberFormat="1" applyFont="1" applyAlignment="1">
      <alignment horizontal="right"/>
    </xf>
    <xf numFmtId="0" fontId="4" fillId="0" borderId="0" xfId="0" applyFont="1" applyAlignment="1">
      <alignment horizontal="right"/>
    </xf>
    <xf numFmtId="169" fontId="6" fillId="0" borderId="0" xfId="1" applyNumberFormat="1" applyFont="1" applyAlignment="1">
      <alignment horizontal="right" vertical="center"/>
    </xf>
    <xf numFmtId="0" fontId="0" fillId="0" borderId="0" xfId="0" applyAlignment="1">
      <alignment vertical="center"/>
    </xf>
    <xf numFmtId="0" fontId="0" fillId="10" borderId="0" xfId="0" applyFill="1" applyAlignment="1">
      <alignment vertical="center"/>
    </xf>
    <xf numFmtId="0" fontId="13" fillId="0" borderId="0" xfId="0" applyFont="1" applyAlignment="1">
      <alignment horizontal="left"/>
    </xf>
    <xf numFmtId="0" fontId="9" fillId="0" borderId="0" xfId="0" applyFont="1" applyAlignment="1">
      <alignment vertical="center"/>
    </xf>
    <xf numFmtId="0" fontId="0" fillId="8" borderId="0" xfId="0" applyFill="1" applyAlignment="1">
      <alignment vertical="center"/>
    </xf>
    <xf numFmtId="0" fontId="0" fillId="9" borderId="0" xfId="0" applyFill="1" applyAlignment="1">
      <alignment vertical="center"/>
    </xf>
    <xf numFmtId="169" fontId="6" fillId="0" borderId="0" xfId="1" applyNumberFormat="1" applyFont="1" applyAlignment="1">
      <alignment horizontal="center"/>
    </xf>
    <xf numFmtId="0" fontId="10" fillId="0" borderId="0" xfId="0" applyFont="1" applyAlignment="1">
      <alignment horizontal="center"/>
    </xf>
    <xf numFmtId="6" fontId="4" fillId="0" borderId="0" xfId="0" applyNumberFormat="1" applyFont="1" applyAlignment="1">
      <alignment horizontal="right"/>
    </xf>
    <xf numFmtId="0" fontId="0" fillId="12" borderId="0" xfId="0" applyFill="1" applyAlignment="1">
      <alignment horizontal="left"/>
    </xf>
    <xf numFmtId="0" fontId="0" fillId="0" borderId="0" xfId="0" applyAlignment="1">
      <alignment horizontal="left"/>
    </xf>
    <xf numFmtId="0" fontId="12" fillId="0" borderId="0" xfId="0" applyFont="1" applyAlignment="1">
      <alignment horizontal="center"/>
    </xf>
    <xf numFmtId="0" fontId="9" fillId="0" borderId="0" xfId="0" applyFont="1" applyAlignment="1">
      <alignment horizontal="left"/>
    </xf>
    <xf numFmtId="0" fontId="0" fillId="8" borderId="0" xfId="0" applyFill="1" applyAlignment="1">
      <alignment horizontal="left"/>
    </xf>
    <xf numFmtId="0" fontId="0" fillId="9" borderId="0" xfId="0" applyFill="1" applyAlignment="1">
      <alignment horizontal="left"/>
    </xf>
  </cellXfs>
  <cellStyles count="4">
    <cellStyle name="Comma 3" xfId="3" xr:uid="{15DCAB64-0202-4DD5-9B55-649191E9CB14}"/>
    <cellStyle name="Normal" xfId="0" builtinId="0"/>
    <cellStyle name="Normal 17" xfId="1" xr:uid="{3E0B0DF3-D32E-4521-BFF4-933194AFE316}"/>
    <cellStyle name="Normal 22" xfId="2" xr:uid="{525D732E-F2D9-47AA-B05E-7E91CAB430CE}"/>
  </cellStyles>
  <dxfs count="200">
    <dxf>
      <fill>
        <patternFill>
          <bgColor rgb="FFFFFFFF"/>
        </patternFill>
      </fill>
    </dxf>
    <dxf>
      <fill>
        <patternFill>
          <bgColor rgb="FFA7E4CD"/>
        </patternFill>
      </fill>
    </dxf>
    <dxf>
      <fill>
        <patternFill>
          <bgColor rgb="FFFFFFFF"/>
        </patternFill>
      </fill>
    </dxf>
    <dxf>
      <fill>
        <patternFill>
          <bgColor rgb="FFA7E4CD"/>
        </patternFill>
      </fill>
    </dxf>
    <dxf>
      <font>
        <strike val="0"/>
        <outline val="0"/>
        <shadow val="0"/>
        <u val="none"/>
        <vertAlign val="baseline"/>
        <sz val="11"/>
        <color auto="1"/>
        <name val="Aptos Narrow"/>
        <family val="2"/>
        <scheme val="minor"/>
      </font>
      <alignment horizontal="left" vertical="bottom" textRotation="0" wrapText="0" indent="0" justifyLastLine="0" shrinkToFit="0" readingOrder="0"/>
    </dxf>
    <dxf>
      <font>
        <strike val="0"/>
        <outline val="0"/>
        <shadow val="0"/>
        <u val="none"/>
        <vertAlign val="baseline"/>
        <sz val="11"/>
        <color auto="1"/>
        <name val="Aptos Narrow"/>
        <family val="2"/>
        <scheme val="minor"/>
      </font>
      <alignment horizontal="right" vertical="bottom" textRotation="0" wrapText="0" indent="0" justifyLastLine="0" shrinkToFit="0" readingOrder="0"/>
    </dxf>
    <dxf>
      <font>
        <strike val="0"/>
        <outline val="0"/>
        <shadow val="0"/>
        <u val="none"/>
        <vertAlign val="baseline"/>
        <sz val="11"/>
        <color auto="1"/>
        <name val="Aptos Narrow"/>
        <family val="2"/>
        <scheme val="minor"/>
      </font>
      <numFmt numFmtId="12" formatCode="&quot;$&quot;#,##0.00_);[Red]\(&quot;$&quot;#,##0.0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numFmt numFmtId="8" formatCode="#,##0.00_);[Red]\(#,##0.00\)"/>
      <alignment horizontal="right" textRotation="0" indent="0" justifyLastLine="0" shrinkToFit="0" readingOrder="0"/>
    </dxf>
    <dxf>
      <font>
        <strike val="0"/>
        <outline val="0"/>
        <shadow val="0"/>
        <u val="none"/>
        <vertAlign val="baseline"/>
        <sz val="11"/>
        <color auto="1"/>
        <name val="Aptos Narrow"/>
        <family val="2"/>
        <scheme val="minor"/>
      </font>
      <numFmt numFmtId="8" formatCode="#,##0.00_);[Red]\(#,##0.00\)"/>
      <alignment horizontal="right" textRotation="0" indent="0" justifyLastLine="0" shrinkToFit="0" readingOrder="0"/>
    </dxf>
    <dxf>
      <font>
        <strike val="0"/>
        <outline val="0"/>
        <shadow val="0"/>
        <u val="none"/>
        <vertAlign val="baseline"/>
        <sz val="11"/>
        <color auto="1"/>
        <name val="Aptos Narrow"/>
        <family val="2"/>
        <scheme val="minor"/>
      </font>
      <numFmt numFmtId="167" formatCode="#0.0_);[Red]\(#0.0\)"/>
      <alignment horizontal="right" textRotation="0" indent="0" justifyLastLine="0" shrinkToFit="0" readingOrder="0"/>
    </dxf>
    <dxf>
      <font>
        <strike val="0"/>
        <outline val="0"/>
        <shadow val="0"/>
        <u val="none"/>
        <vertAlign val="baseline"/>
        <sz val="11"/>
        <color auto="1"/>
        <name val="Aptos Narrow"/>
        <family val="2"/>
        <scheme val="minor"/>
      </font>
      <numFmt numFmtId="166" formatCode="#,##0.0_);[Red]\(#,##0.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alignment horizontal="center" vertical="bottom"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vertical="bottom" textRotation="0" indent="0" justifyLastLine="0" shrinkToFit="0" readingOrder="0"/>
    </dxf>
    <dxf>
      <font>
        <strike val="0"/>
        <outline val="0"/>
        <shadow val="0"/>
        <u val="none"/>
        <vertAlign val="baseline"/>
        <sz val="11"/>
        <color auto="1"/>
        <name val="Aptos Narrow"/>
        <family val="2"/>
        <scheme val="minor"/>
      </font>
      <numFmt numFmtId="165" formatCode="mm/dd/yy"/>
      <alignment horizontal="center" vertical="bottom" textRotation="0" indent="0" justifyLastLine="0" shrinkToFit="0" readingOrder="0"/>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alignment horizontal="left" vertical="bottom" textRotation="0" indent="0" justifyLastLine="0" shrinkToFit="0" readingOrder="0"/>
    </dxf>
    <dxf>
      <border outline="0">
        <bottom style="double">
          <color indexed="64"/>
        </bottom>
      </border>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alignment horizontal="right" vertical="bottom" textRotation="0" wrapText="0" indent="0" justifyLastLine="0" shrinkToFit="0" readingOrder="0"/>
    </dxf>
    <dxf>
      <font>
        <strike val="0"/>
        <outline val="0"/>
        <shadow val="0"/>
        <u val="none"/>
        <vertAlign val="baseline"/>
        <sz val="11"/>
        <color auto="1"/>
        <name val="Aptos Narrow"/>
        <family val="2"/>
        <scheme val="minor"/>
      </font>
      <numFmt numFmtId="12" formatCode="&quot;$&quot;#,##0.00_);[Red]\(&quot;$&quot;#,##0.0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numFmt numFmtId="8" formatCode="#,##0.00_);[Red]\(#,##0.00\)"/>
      <alignment horizontal="right" textRotation="0" indent="0" justifyLastLine="0" shrinkToFit="0" readingOrder="0"/>
    </dxf>
    <dxf>
      <font>
        <strike val="0"/>
        <outline val="0"/>
        <shadow val="0"/>
        <u val="none"/>
        <vertAlign val="baseline"/>
        <sz val="11"/>
        <color auto="1"/>
        <name val="Aptos Narrow"/>
        <family val="2"/>
        <scheme val="minor"/>
      </font>
      <numFmt numFmtId="8" formatCode="#,##0.00_);[Red]\(#,##0.00\)"/>
      <alignment horizontal="right" textRotation="0" indent="0" justifyLastLine="0" shrinkToFit="0" readingOrder="0"/>
    </dxf>
    <dxf>
      <font>
        <strike val="0"/>
        <outline val="0"/>
        <shadow val="0"/>
        <u val="none"/>
        <vertAlign val="baseline"/>
        <sz val="11"/>
        <color auto="1"/>
        <name val="Aptos Narrow"/>
        <family val="2"/>
        <scheme val="minor"/>
      </font>
      <numFmt numFmtId="167" formatCode="#0.0_);[Red]\(#0.0\)"/>
      <alignment horizontal="right" textRotation="0" indent="0" justifyLastLine="0" shrinkToFit="0" readingOrder="0"/>
    </dxf>
    <dxf>
      <font>
        <strike val="0"/>
        <outline val="0"/>
        <shadow val="0"/>
        <u val="none"/>
        <vertAlign val="baseline"/>
        <sz val="11"/>
        <color auto="1"/>
        <name val="Aptos Narrow"/>
        <family val="2"/>
        <scheme val="minor"/>
      </font>
      <numFmt numFmtId="166" formatCode="#,##0.0_);[Red]\(#,##0.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textRotation="0" indent="0" justifyLastLine="0" shrinkToFit="0" readingOrder="0"/>
    </dxf>
    <dxf>
      <font>
        <strike val="0"/>
        <outline val="0"/>
        <shadow val="0"/>
        <u val="none"/>
        <vertAlign val="baseline"/>
        <sz val="11"/>
        <color auto="1"/>
        <name val="Aptos Narrow"/>
        <family val="2"/>
        <scheme val="minor"/>
      </font>
      <alignment horizontal="center" vertical="bottom" textRotation="0" indent="0" justifyLastLine="0" shrinkToFit="0" readingOrder="0"/>
    </dxf>
    <dxf>
      <font>
        <strike val="0"/>
        <outline val="0"/>
        <shadow val="0"/>
        <u val="none"/>
        <vertAlign val="baseline"/>
        <sz val="11"/>
        <color auto="1"/>
        <name val="Aptos Narrow"/>
        <family val="2"/>
        <scheme val="minor"/>
      </font>
      <numFmt numFmtId="10" formatCode="&quot;$&quot;#,##0_);[Red]\(&quot;$&quot;#,##0\)"/>
      <alignment horizontal="right" vertical="bottom" textRotation="0" indent="0" justifyLastLine="0" shrinkToFit="0" readingOrder="0"/>
    </dxf>
    <dxf>
      <font>
        <strike val="0"/>
        <outline val="0"/>
        <shadow val="0"/>
        <u val="none"/>
        <vertAlign val="baseline"/>
        <sz val="11"/>
        <color auto="1"/>
        <name val="Aptos Narrow"/>
        <family val="2"/>
        <scheme val="minor"/>
      </font>
      <numFmt numFmtId="165" formatCode="mm/dd/yy"/>
      <alignment horizontal="center" vertical="bottom" textRotation="0" indent="0" justifyLastLine="0" shrinkToFit="0" readingOrder="0"/>
    </dxf>
    <dxf>
      <font>
        <strike val="0"/>
        <outline val="0"/>
        <shadow val="0"/>
        <u val="none"/>
        <vertAlign val="baseline"/>
        <sz val="11"/>
        <color auto="1"/>
        <name val="Aptos Narrow"/>
        <family val="2"/>
        <scheme val="minor"/>
      </font>
    </dxf>
    <dxf>
      <font>
        <strike val="0"/>
        <outline val="0"/>
        <shadow val="0"/>
        <u val="none"/>
        <vertAlign val="baseline"/>
        <sz val="11"/>
        <color auto="1"/>
        <name val="Aptos Narrow"/>
        <family val="2"/>
        <scheme val="minor"/>
      </font>
      <alignment horizontal="left" vertical="bottom" textRotation="0" indent="0" justifyLastLine="0" shrinkToFit="0" readingOrder="0"/>
    </dxf>
    <dxf>
      <border outline="0">
        <bottom style="double">
          <color indexed="64"/>
        </bottom>
      </border>
    </dxf>
    <dxf>
      <font>
        <strike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2" formatCode="&quot;$&quot;#,##0.00_);[Red]\(&quot;$&quot;#,##0.0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8" formatCode="#,##0.00_);[Red]\(#,##0.0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8" formatCode="#,##0.00_);[Red]\(#,##0.0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7" formatCode="#0.0_);[Red]\(#0.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6" formatCode="#,##0.0_);[Red]\(#,##0.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5" formatCode="mm/dd/yy"/>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vertical="center" textRotation="0" indent="0" justifyLastLine="0" shrinkToFit="0" readingOrder="0"/>
    </dxf>
    <dxf>
      <border outline="0">
        <bottom style="double">
          <color indexed="64"/>
        </bottom>
      </border>
    </dxf>
    <dxf>
      <fill>
        <patternFill patternType="none">
          <fgColor indexed="64"/>
          <bgColor auto="1"/>
        </patternFill>
      </fill>
      <alignment vertical="center" textRotation="0" indent="0" justifyLastLine="0" shrinkToFit="0" readingOrder="0"/>
    </dxf>
    <dxf>
      <border>
        <bottom style="thin">
          <color rgb="FFAC75D5"/>
        </bottom>
      </border>
    </dxf>
    <dxf>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2" formatCode="&quot;$&quot;#,##0.00_);[Red]\(&quot;$&quot;#,##0.00\)"/>
    </dxf>
    <dxf>
      <font>
        <b val="0"/>
        <i val="0"/>
        <strike val="0"/>
        <condense val="0"/>
        <extend val="0"/>
        <outline val="0"/>
        <shadow val="0"/>
        <u val="none"/>
        <vertAlign val="baseline"/>
        <sz val="11"/>
        <color auto="1"/>
        <name val="Aptos Narrow"/>
        <family val="2"/>
        <scheme val="minor"/>
      </font>
      <numFmt numFmtId="10" formatCode="&quot;$&quot;#,##0_);[Red]\(&quot;$&quot;#,##0\)"/>
    </dxf>
    <dxf>
      <font>
        <b val="0"/>
        <i val="0"/>
        <strike val="0"/>
        <condense val="0"/>
        <extend val="0"/>
        <outline val="0"/>
        <shadow val="0"/>
        <u val="none"/>
        <vertAlign val="baseline"/>
        <sz val="11"/>
        <color auto="1"/>
        <name val="Aptos Narrow"/>
        <family val="2"/>
        <scheme val="minor"/>
      </font>
      <numFmt numFmtId="10" formatCode="&quot;$&quot;#,##0_);[Red]\(&quot;$&quot;#,##0\)"/>
    </dxf>
    <dxf>
      <font>
        <b val="0"/>
        <i val="0"/>
        <strike val="0"/>
        <condense val="0"/>
        <extend val="0"/>
        <outline val="0"/>
        <shadow val="0"/>
        <u val="none"/>
        <vertAlign val="baseline"/>
        <sz val="11"/>
        <color auto="1"/>
        <name val="Aptos Narrow"/>
        <family val="2"/>
        <scheme val="minor"/>
      </font>
      <numFmt numFmtId="8" formatCode="#,##0.00_);[Red]\(#,##0.00\)"/>
    </dxf>
    <dxf>
      <font>
        <b val="0"/>
        <i val="0"/>
        <strike val="0"/>
        <condense val="0"/>
        <extend val="0"/>
        <outline val="0"/>
        <shadow val="0"/>
        <u val="none"/>
        <vertAlign val="baseline"/>
        <sz val="11"/>
        <color auto="1"/>
        <name val="Aptos Narrow"/>
        <family val="2"/>
        <scheme val="minor"/>
      </font>
      <numFmt numFmtId="8" formatCode="#,##0.00_);[Red]\(#,##0.00\)"/>
    </dxf>
    <dxf>
      <font>
        <b val="0"/>
        <i val="0"/>
        <strike val="0"/>
        <condense val="0"/>
        <extend val="0"/>
        <outline val="0"/>
        <shadow val="0"/>
        <u val="none"/>
        <vertAlign val="baseline"/>
        <sz val="11"/>
        <color auto="1"/>
        <name val="Aptos Narrow"/>
        <family val="2"/>
        <scheme val="minor"/>
      </font>
      <numFmt numFmtId="167" formatCode="#0.0_);[Red]\(#0.0\)"/>
    </dxf>
    <dxf>
      <font>
        <b val="0"/>
        <i val="0"/>
        <strike val="0"/>
        <condense val="0"/>
        <extend val="0"/>
        <outline val="0"/>
        <shadow val="0"/>
        <u val="none"/>
        <vertAlign val="baseline"/>
        <sz val="11"/>
        <color auto="1"/>
        <name val="Aptos Narrow"/>
        <family val="2"/>
        <scheme val="minor"/>
      </font>
      <numFmt numFmtId="166" formatCode="#,##0.0_);[Red]\(#,##0.0\)"/>
    </dxf>
    <dxf>
      <font>
        <b val="0"/>
        <i val="0"/>
        <strike val="0"/>
        <condense val="0"/>
        <extend val="0"/>
        <outline val="0"/>
        <shadow val="0"/>
        <u val="none"/>
        <vertAlign val="baseline"/>
        <sz val="11"/>
        <color auto="1"/>
        <name val="Aptos Narrow"/>
        <family val="2"/>
        <scheme val="minor"/>
      </font>
      <numFmt numFmtId="10" formatCode="&quot;$&quot;#,##0_);[Red]\(&quot;$&quot;#,##0\)"/>
    </dxf>
    <dxf>
      <font>
        <b val="0"/>
        <i val="0"/>
        <strike val="0"/>
        <condense val="0"/>
        <extend val="0"/>
        <outline val="0"/>
        <shadow val="0"/>
        <u val="none"/>
        <vertAlign val="baseline"/>
        <sz val="11"/>
        <color auto="1"/>
        <name val="Aptos Narrow"/>
        <family val="2"/>
        <scheme val="minor"/>
      </font>
      <numFmt numFmtId="10" formatCode="&quot;$&quot;#,##0_);[Red]\(&quot;$&quot;#,##0\)"/>
    </dxf>
    <dxf>
      <font>
        <b val="0"/>
        <i val="0"/>
        <strike val="0"/>
        <condense val="0"/>
        <extend val="0"/>
        <outline val="0"/>
        <shadow val="0"/>
        <u val="none"/>
        <vertAlign val="baseline"/>
        <sz val="11"/>
        <color auto="1"/>
        <name val="Aptos Narrow"/>
        <family val="2"/>
        <scheme val="minor"/>
      </font>
      <numFmt numFmtId="10" formatCode="&quot;$&quot;#,##0_);[Red]\(&quot;$&quot;#,##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numFmt numFmtId="10" formatCode="&quot;$&quot;#,##0_);[Red]\(&quot;$&quot;#,##0\)"/>
    </dxf>
    <dxf>
      <font>
        <b val="0"/>
        <i val="0"/>
        <strike val="0"/>
        <condense val="0"/>
        <extend val="0"/>
        <outline val="0"/>
        <shadow val="0"/>
        <u val="none"/>
        <vertAlign val="baseline"/>
        <sz val="11"/>
        <color auto="1"/>
        <name val="Aptos Narrow"/>
        <family val="2"/>
        <scheme val="minor"/>
      </font>
      <numFmt numFmtId="165" formatCode="mm/dd/yy"/>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2" formatCode="&quot;$&quot;#,##0.00_);[Red]\(&quot;$&quot;#,##0.00\)"/>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numFmt numFmtId="8" formatCode="#,##0.00_);[Red]\(#,##0.00\)"/>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numFmt numFmtId="8" formatCode="#,##0.00_);[Red]\(#,##0.00\)"/>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numFmt numFmtId="10" formatCode="&quot;$&quot;#,##0_);[Red]\(&quot;$&quot;#,##0\)"/>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numFmt numFmtId="165" formatCode="mm/dd/yy"/>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dxf>
    <dxf>
      <border outline="0">
        <bottom style="double">
          <color indexed="64"/>
        </bottom>
      </border>
    </dxf>
    <dxf>
      <font>
        <strike val="0"/>
        <outline val="0"/>
        <shadow val="0"/>
        <vertAlign val="baseline"/>
        <color auto="1"/>
      </font>
      <fill>
        <patternFill patternType="none">
          <fgColor indexed="64"/>
          <bgColor auto="1"/>
        </patternFill>
      </fill>
    </dxf>
    <dxf>
      <border>
        <bottom style="thin">
          <color rgb="FFFFCCCC"/>
        </bottom>
      </border>
    </dxf>
    <dxf>
      <font>
        <strike val="0"/>
        <outline val="0"/>
        <shadow val="0"/>
        <vertAlign val="baseline"/>
        <color auto="1"/>
      </font>
      <fill>
        <patternFill patternType="none">
          <fgColor indexed="64"/>
          <bgColor auto="1"/>
        </patternFill>
      </fill>
      <border diagonalUp="0" diagonalDown="0">
        <left/>
        <right/>
        <top/>
        <bottom/>
        <vertical/>
        <horizontal/>
      </border>
    </dxf>
    <dxf>
      <font>
        <b val="0"/>
        <i val="0"/>
        <strike val="0"/>
        <condense val="0"/>
        <extend val="0"/>
        <outline val="0"/>
        <shadow val="0"/>
        <u val="none"/>
        <vertAlign val="baseline"/>
        <sz val="11"/>
        <color auto="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ptos Narrow"/>
        <family val="2"/>
        <scheme val="minor"/>
      </font>
      <alignment horizont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73" formatCode="&quot;$&quot;#,##0.00"/>
    </dxf>
    <dxf>
      <font>
        <b val="0"/>
        <i val="0"/>
        <strike val="0"/>
        <condense val="0"/>
        <extend val="0"/>
        <outline val="0"/>
        <shadow val="0"/>
        <u val="none"/>
        <vertAlign val="baseline"/>
        <sz val="11"/>
        <color auto="1"/>
        <name val="Aptos Narrow"/>
        <family val="2"/>
        <scheme val="minor"/>
      </font>
      <numFmt numFmtId="173" formatCode="&quot;$&quot;#,##0.00"/>
    </dxf>
    <dxf>
      <font>
        <b val="0"/>
        <i val="0"/>
        <strike val="0"/>
        <condense val="0"/>
        <extend val="0"/>
        <outline val="0"/>
        <shadow val="0"/>
        <u val="none"/>
        <vertAlign val="baseline"/>
        <sz val="11"/>
        <color auto="1"/>
        <name val="Aptos Narrow"/>
        <family val="2"/>
        <scheme val="minor"/>
      </font>
      <numFmt numFmtId="173" formatCode="&quot;$&quot;#,##0.00"/>
    </dxf>
    <dxf>
      <font>
        <b val="0"/>
        <i val="0"/>
        <strike val="0"/>
        <condense val="0"/>
        <extend val="0"/>
        <outline val="0"/>
        <shadow val="0"/>
        <u val="none"/>
        <vertAlign val="baseline"/>
        <sz val="11"/>
        <color auto="1"/>
        <name val="Aptos Narrow"/>
        <family val="2"/>
        <scheme val="minor"/>
      </font>
      <numFmt numFmtId="175" formatCode="0.000"/>
    </dxf>
    <dxf>
      <font>
        <b val="0"/>
        <i val="0"/>
        <strike val="0"/>
        <condense val="0"/>
        <extend val="0"/>
        <outline val="0"/>
        <shadow val="0"/>
        <u val="none"/>
        <vertAlign val="baseline"/>
        <sz val="11"/>
        <color auto="1"/>
        <name val="Aptos Narrow"/>
        <family val="2"/>
        <scheme val="minor"/>
      </font>
      <numFmt numFmtId="175" formatCode="0.000"/>
    </dxf>
    <dxf>
      <font>
        <b val="0"/>
        <i val="0"/>
        <strike val="0"/>
        <condense val="0"/>
        <extend val="0"/>
        <outline val="0"/>
        <shadow val="0"/>
        <u val="none"/>
        <vertAlign val="baseline"/>
        <sz val="11"/>
        <color auto="1"/>
        <name val="Aptos Narrow"/>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8" formatCode="#,##0.00_);[Red]\(#,##0.00\)"/>
    </dxf>
    <dxf>
      <font>
        <b val="0"/>
        <i val="0"/>
        <strike val="0"/>
        <condense val="0"/>
        <extend val="0"/>
        <outline val="0"/>
        <shadow val="0"/>
        <u val="none"/>
        <vertAlign val="baseline"/>
        <sz val="11"/>
        <color auto="1"/>
        <name val="Aptos Narrow"/>
        <family val="2"/>
        <scheme val="minor"/>
      </font>
      <numFmt numFmtId="10" formatCode="&quot;$&quot;#,##0_);[Red]\(&quot;$&quot;#,##0\)"/>
    </dxf>
    <dxf>
      <font>
        <b val="0"/>
        <i val="0"/>
        <strike val="0"/>
        <condense val="0"/>
        <extend val="0"/>
        <outline val="0"/>
        <shadow val="0"/>
        <u val="none"/>
        <vertAlign val="baseline"/>
        <sz val="11"/>
        <color auto="1"/>
        <name val="Aptos Narrow"/>
        <family val="2"/>
        <scheme val="minor"/>
      </font>
      <numFmt numFmtId="10" formatCode="&quot;$&quot;#,##0_);[Red]\(&quot;$&quot;#,##0\)"/>
    </dxf>
    <dxf>
      <font>
        <b val="0"/>
        <i val="0"/>
        <strike val="0"/>
        <condense val="0"/>
        <extend val="0"/>
        <outline val="0"/>
        <shadow val="0"/>
        <u val="none"/>
        <vertAlign val="baseline"/>
        <sz val="11"/>
        <color auto="1"/>
        <name val="Aptos Narrow"/>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dxf>
    <dxf>
      <font>
        <b val="0"/>
        <i val="0"/>
        <strike val="0"/>
        <condense val="0"/>
        <extend val="0"/>
        <outline val="0"/>
        <shadow val="0"/>
        <u val="none"/>
        <vertAlign val="baseline"/>
        <sz val="11"/>
        <color auto="1"/>
        <name val="Aptos Narrow"/>
        <family val="2"/>
        <scheme val="minor"/>
      </font>
      <numFmt numFmtId="165" formatCode="mm/dd/yy"/>
      <alignment horizontal="center" textRotation="0" indent="0" justifyLastLine="0" shrinkToFit="0" readingOrder="0"/>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alignment horizontal="left" textRotation="0" indent="0" justifyLastLine="0" shrinkToFit="0" readingOrder="0"/>
    </dxf>
    <dxf>
      <border outline="0">
        <bottom style="double">
          <color indexed="64"/>
        </bottom>
      </border>
    </dxf>
    <dxf>
      <font>
        <strike val="0"/>
        <outline val="0"/>
        <shadow val="0"/>
        <u val="none"/>
        <vertAlign val="baseline"/>
        <sz val="11"/>
        <color auto="1"/>
        <name val="Aptos Narrow"/>
        <family val="2"/>
        <scheme val="minor"/>
      </font>
    </dxf>
    <dxf>
      <font>
        <strike val="0"/>
        <outline val="0"/>
        <shadow val="0"/>
        <vertAlign val="baseline"/>
        <sz val="11"/>
        <color auto="1"/>
        <name val="Aptos Narrow"/>
        <family val="2"/>
        <scheme val="minor"/>
      </font>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right" textRotation="0" indent="0" justifyLastLine="0" shrinkToFit="0" readingOrder="0"/>
    </dxf>
    <dxf>
      <alignment horizontal="center" vertical="center" textRotation="0" indent="0" justifyLastLine="0" shrinkToFit="0" readingOrder="0"/>
    </dxf>
    <dxf>
      <border outline="0">
        <bottom style="double">
          <color indexed="64"/>
        </bottom>
      </border>
    </dxf>
    <dxf>
      <font>
        <b val="0"/>
        <i val="0"/>
        <strike val="0"/>
        <condense val="0"/>
        <extend val="0"/>
        <outline val="0"/>
        <shadow val="0"/>
        <u val="none"/>
        <vertAlign val="baseline"/>
        <sz val="11"/>
        <color auto="1"/>
        <name val="Aptos Narrow"/>
        <family val="2"/>
        <scheme val="minor"/>
      </font>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2" formatCode="&quot;$&quot;#,##0.00_);[Red]\(&quot;$&quot;#,##0.0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8" formatCode="#,##0.00_);[Red]\(#,##0.0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8" formatCode="#,##0.00_);[Red]\(#,##0.00\)"/>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7" formatCode="#0.0_);[Red]\(#0.0\)"/>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6" formatCode="#,##0.0_);[Red]\(#,##0.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5" formatCode="mm/dd/yy"/>
      <alignment horizontal="center" vertical="center" textRotation="0" indent="0" justifyLastLine="0" shrinkToFit="0" readingOrder="0"/>
    </dxf>
    <dxf>
      <font>
        <b val="0"/>
        <i val="0"/>
        <strike val="0"/>
        <condense val="0"/>
        <extend val="0"/>
        <outline val="0"/>
        <shadow val="0"/>
        <u val="none"/>
        <vertAlign val="baseline"/>
        <sz val="11"/>
        <color auto="1"/>
        <name val="Aptos Narrow"/>
        <family val="2"/>
        <scheme val="minor"/>
      </font>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alignment vertical="center" textRotation="0" indent="0" justifyLastLine="0" shrinkToFit="0" readingOrder="0"/>
    </dxf>
    <dxf>
      <border outline="0">
        <bottom style="double">
          <color indexed="64"/>
        </bottom>
      </border>
    </dxf>
    <dxf>
      <font>
        <strike val="0"/>
        <outline val="0"/>
        <shadow val="0"/>
        <u val="none"/>
        <vertAlign val="baseline"/>
        <sz val="11"/>
        <color auto="1"/>
        <name val="Aptos Narrow"/>
        <family val="2"/>
        <scheme val="minor"/>
      </font>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alignment horizontal="right" vertical="center"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2" formatCode="&quot;$&quot;#,##0.00_);[Red]\(&quot;$&quot;#,##0.0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8" formatCode="#,##0.00_);[Red]\(#,##0.0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8" formatCode="#,##0.00_);[Red]\(#,##0.0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7" formatCode="#0.0_);[Red]\(#0.0\)"/>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6" formatCode="#,##0.0_);[Red]\(#,##0.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0" formatCode="&quot;$&quot;#,##0_);[Red]\(&quot;$&quot;#,##0\)"/>
      <alignment horizontal="righ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5" formatCode="mm/dd/yy"/>
      <alignment horizontal="center" vertical="center" textRotation="0" indent="0" justifyLastLine="0" shrinkToFit="0" readingOrder="0"/>
    </dxf>
    <dxf>
      <font>
        <b val="0"/>
        <i val="0"/>
        <strike val="0"/>
        <condense val="0"/>
        <extend val="0"/>
        <outline val="0"/>
        <shadow val="0"/>
        <u val="none"/>
        <vertAlign val="baseline"/>
        <sz val="11"/>
        <color auto="1"/>
        <name val="Aptos Narrow"/>
        <family val="2"/>
        <scheme val="minor"/>
      </font>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alignment vertical="center" textRotation="0" indent="0" justifyLastLine="0" shrinkToFit="0" readingOrder="0"/>
    </dxf>
    <dxf>
      <border outline="0">
        <bottom style="double">
          <color indexed="64"/>
        </bottom>
      </border>
    </dxf>
    <dxf>
      <font>
        <strike val="0"/>
        <outline val="0"/>
        <shadow val="0"/>
        <u val="none"/>
        <vertAlign val="baseline"/>
        <sz val="11"/>
        <color auto="1"/>
        <name val="Aptos Narrow"/>
        <family val="2"/>
        <scheme val="minor"/>
      </font>
      <alignment vertical="center" textRotation="0" indent="0" justifyLastLine="0" shrinkToFit="0" readingOrder="0"/>
    </dxf>
    <dxf>
      <font>
        <b val="0"/>
        <i val="0"/>
        <strike val="0"/>
        <condense val="0"/>
        <extend val="0"/>
        <outline val="0"/>
        <shadow val="0"/>
        <u val="none"/>
        <vertAlign val="baseline"/>
        <sz val="11"/>
        <color auto="1"/>
        <name val="Aptos Narrow"/>
        <family val="2"/>
        <scheme val="minor"/>
      </font>
      <numFmt numFmtId="169" formatCode="&quot;$&quot;#,##0"/>
      <fill>
        <patternFill patternType="solid">
          <fgColor indexed="64"/>
          <bgColor theme="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69" formatCode="&quot;$&quot;#,##0"/>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70" formatCode="0.0"/>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69" formatCode="&quot;$&quot;#,##0"/>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70" formatCode="0.0"/>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69" formatCode="&quot;$&quot;#,##0"/>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70" formatCode="0.0"/>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fill>
        <patternFill patternType="solid">
          <fgColor indexed="64"/>
          <bgColor theme="0" tint="-0.3499862666707357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169" formatCode="&quot;$&quot;#,##0"/>
      <fill>
        <patternFill patternType="solid">
          <fgColor indexed="64"/>
          <bgColor theme="0" tint="-0.34998626667073579"/>
        </patternFill>
      </fill>
      <alignment horizontal="right" vertical="bottom" textRotation="0" wrapText="0" indent="0" justifyLastLine="0" shrinkToFit="0" readingOrder="0"/>
    </dxf>
    <dxf>
      <font>
        <strike val="0"/>
        <outline val="0"/>
        <shadow val="0"/>
        <u val="none"/>
        <vertAlign val="baseline"/>
        <sz val="11"/>
        <color auto="1"/>
        <name val="Aptos Narrow"/>
        <family val="2"/>
        <scheme val="minor"/>
      </font>
      <alignment vertical="bottom" textRotation="0" wrapText="1"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center" textRotation="0" indent="0" justifyLastLine="0" shrinkToFit="0" readingOrder="0"/>
    </dxf>
    <dxf>
      <font>
        <strike val="0"/>
        <outline val="0"/>
        <shadow val="0"/>
        <u val="none"/>
        <vertAlign val="baseline"/>
        <sz val="11"/>
        <color auto="1"/>
        <name val="Aptos Narrow"/>
        <family val="2"/>
        <scheme val="minor"/>
      </font>
      <alignment horizontal="right" textRotation="0" indent="0" justifyLastLine="0" shrinkToFit="0" readingOrder="0"/>
    </dxf>
    <dxf>
      <font>
        <strike val="0"/>
        <outline val="0"/>
        <shadow val="0"/>
        <u val="none"/>
        <vertAlign val="baseline"/>
        <sz val="11"/>
        <color auto="1"/>
        <name val="Aptos Narrow"/>
        <family val="2"/>
        <scheme val="minor"/>
      </font>
      <alignment horizontal="center" vertical="bottom" textRotation="0" indent="0" justifyLastLine="0" shrinkToFit="0" readingOrder="0"/>
    </dxf>
    <dxf>
      <font>
        <strike val="0"/>
        <outline val="0"/>
        <shadow val="0"/>
        <u val="none"/>
        <vertAlign val="baseline"/>
        <sz val="11"/>
        <color auto="1"/>
        <name val="Aptos Narrow"/>
        <family val="2"/>
        <scheme val="minor"/>
      </font>
      <alignment horizontal="left" textRotation="0" indent="0" justifyLastLine="0" shrinkToFit="0" readingOrder="0"/>
    </dxf>
    <dxf>
      <font>
        <strike val="0"/>
        <outline val="0"/>
        <shadow val="0"/>
        <u val="none"/>
        <vertAlign val="baseline"/>
        <sz val="11"/>
        <color auto="1"/>
        <name val="Aptos Narrow"/>
        <family val="2"/>
        <scheme val="minor"/>
      </font>
      <alignment horizontal="left" textRotation="0" indent="0" justifyLastLine="0" shrinkToFit="0" readingOrder="0"/>
    </dxf>
    <dxf>
      <border outline="0">
        <bottom style="thin">
          <color indexed="64"/>
        </bottom>
      </border>
    </dxf>
    <dxf>
      <font>
        <strike val="0"/>
        <outline val="0"/>
        <shadow val="0"/>
        <u val="none"/>
        <vertAlign val="baseline"/>
        <sz val="11"/>
        <color auto="1"/>
        <name val="Aptos Narrow"/>
        <family val="2"/>
        <scheme val="minor"/>
      </font>
    </dxf>
    <dxf>
      <fill>
        <patternFill>
          <bgColor rgb="FFE8D1FF"/>
        </patternFill>
      </fill>
    </dxf>
    <dxf>
      <border>
        <top style="thin">
          <color rgb="FFAC75D5"/>
        </top>
        <bottom style="thin">
          <color rgb="FFAC75D5"/>
        </bottom>
      </border>
    </dxf>
    <dxf>
      <fill>
        <patternFill>
          <bgColor rgb="FFFFCCCC"/>
        </patternFill>
      </fill>
    </dxf>
    <dxf>
      <border>
        <top style="thin">
          <color rgb="FFFF7575"/>
        </top>
        <bottom style="thin">
          <color rgb="FFFF7575"/>
        </bottom>
      </border>
    </dxf>
  </dxfs>
  <tableStyles count="2" defaultTableStyle="TableStyleMedium2" defaultPivotStyle="PivotStyleLight16">
    <tableStyle name="Reds" pivot="0" count="2" xr9:uid="{2E29139B-61BD-4B4B-8763-CF6A7589C919}">
      <tableStyleElement type="headerRow" dxfId="199"/>
      <tableStyleElement type="firstRowStripe" dxfId="198"/>
    </tableStyle>
    <tableStyle name="Table Style 1" pivot="0" count="2" xr9:uid="{4738B198-6AAC-445B-AE6B-8E7CEF7DDA99}">
      <tableStyleElement type="headerRow" dxfId="197"/>
      <tableStyleElement type="firstRowStripe" dxfId="19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0152B5A-E098-4D60-8530-51AC33C0E0C7}" name="Table1821" displayName="Table1821" ref="A1:Q21" totalsRowShown="0" dataDxfId="195" tableBorderDxfId="194">
  <autoFilter ref="A1:Q21" xr:uid="{D636567C-8C27-496E-A157-B8487692D8E6}"/>
  <sortState xmlns:xlrd2="http://schemas.microsoft.com/office/spreadsheetml/2017/richdata2" ref="A2:Q20">
    <sortCondition ref="A1:A20"/>
  </sortState>
  <tableColumns count="17">
    <tableColumn id="1" xr3:uid="{26282756-2467-419D-B9CE-A342AE9238BE}" name="Parcel Number" dataDxfId="193"/>
    <tableColumn id="2" xr3:uid="{7156944D-4D94-4538-B70C-87CE7353CE88}" name="Street Address" dataDxfId="192"/>
    <tableColumn id="3" xr3:uid="{E8F2ACD0-2452-4B6F-8622-7354B156B60A}" name="Sale Date" dataDxfId="191"/>
    <tableColumn id="4" xr3:uid="{C23AD2C4-27DD-48F4-933A-C2C482A25378}" name="Sale Price" dataDxfId="190"/>
    <tableColumn id="5" xr3:uid="{6B4016D2-1855-4340-B38F-48519ECC0E34}" name="Instr." dataDxfId="189"/>
    <tableColumn id="6" xr3:uid="{96ECA115-4B8B-4A4A-8641-D7E1996A23FC}" name="Adj. Sale $" dataDxfId="188"/>
    <tableColumn id="7" xr3:uid="{D120C9F0-4E32-450D-AB59-B01D5A842502}" name="Land_x000a_Residual" dataDxfId="187"/>
    <tableColumn id="8" xr3:uid="{CE6BEF8D-0B98-4C90-AD9D-4A810B902500}" name="Est. Land_x000a_Value" dataDxfId="186"/>
    <tableColumn id="9" xr3:uid="{C0599C7E-8DCB-4E89-AEFB-0A44940B7290}" name="Effec. Front" dataDxfId="185"/>
    <tableColumn id="10" xr3:uid="{569006D0-45C5-437A-9922-30C2869126C2}" name="Depth" dataDxfId="184"/>
    <tableColumn id="11" xr3:uid="{24AD9045-670A-4CEF-B40B-E09F27A0F5FF}" name="Net Acres" dataDxfId="183"/>
    <tableColumn id="12" xr3:uid="{C6F943D5-FF12-403D-A5E3-58D9923873D6}" name="Total Acres" dataDxfId="182"/>
    <tableColumn id="13" xr3:uid="{6CEF2F19-F559-4709-867E-D53A4361777E}" name="Dollars_x000a_/FF" dataDxfId="181"/>
    <tableColumn id="14" xr3:uid="{120F1589-39C8-4298-A1A1-AB992162C5E3}" name="Dollars_x000a_/Acre" dataDxfId="180"/>
    <tableColumn id="15" xr3:uid="{FB89DB8C-F7D9-4DC4-BEC0-6EBDE18A6FBD}" name="Dollars_x000a_/SqFt" dataDxfId="179"/>
    <tableColumn id="17" xr3:uid="{716C9509-B554-4162-B686-49E9DB10A96E}" name="ECF Area"/>
    <tableColumn id="19" xr3:uid="{F47A83B0-6B58-4B76-8264-1BB454784F32}" name="Other Parcels in Sale" dataDxfId="178"/>
  </tableColumns>
  <tableStyleInfo name="TableStyleLight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7B9F98A-D99F-4549-A28C-64D81A57BCA5}" name="Table7" displayName="Table7" ref="A1:Q11" totalsRowShown="0" headerRowDxfId="62" dataDxfId="60" headerRowBorderDxfId="61" tableBorderDxfId="59">
  <autoFilter ref="A1:Q11" xr:uid="{6F50BB8A-EABF-419F-94BA-911B9A62DDC0}"/>
  <tableColumns count="17">
    <tableColumn id="1" xr3:uid="{CAB95860-8986-40B0-8129-846650CD3602}" name="Parcel Number" dataDxfId="58"/>
    <tableColumn id="2" xr3:uid="{05E1E948-7E59-4654-9C90-8345514CE1B7}" name="Street Address" dataDxfId="57"/>
    <tableColumn id="3" xr3:uid="{2A9019DA-2C1B-4AB2-B190-28A9A352C24B}" name="Sale Date" dataDxfId="56"/>
    <tableColumn id="4" xr3:uid="{273BA471-24EE-4B9C-A9E6-608333EFD5B5}" name="Sale Price" dataDxfId="55"/>
    <tableColumn id="5" xr3:uid="{5D371BC7-EE1D-45C7-B886-17E7F2AF8E91}" name="Instr." dataDxfId="54"/>
    <tableColumn id="6" xr3:uid="{4F5770A3-B7D2-4882-8724-668C9B138991}" name="Adj. Sale $" dataDxfId="53"/>
    <tableColumn id="7" xr3:uid="{802688B2-5547-4A57-913A-EDE729A0922B}" name="Land_x000a_Residual" dataDxfId="52"/>
    <tableColumn id="8" xr3:uid="{A1A72B44-56BE-4985-9E4F-163959F10DEB}" name="Est. Land_x000a_Value" dataDxfId="51"/>
    <tableColumn id="9" xr3:uid="{AB1A8634-09B0-44E3-9865-07D79136C4E6}" name="Effec. Front" dataDxfId="50"/>
    <tableColumn id="10" xr3:uid="{C9C507E1-9DB1-4371-94AE-634BB58267C1}" name="Depth" dataDxfId="49"/>
    <tableColumn id="11" xr3:uid="{6D8CBCB8-8224-42F5-894E-E0635B9C2D3A}" name="Net Acres" dataDxfId="48"/>
    <tableColumn id="12" xr3:uid="{D3875BFE-E0B2-4614-AC75-F03A19EAD8C9}" name="Total Acres" dataDxfId="47"/>
    <tableColumn id="13" xr3:uid="{403E300E-7A03-4181-9E6A-CA3F598FB684}" name="Dollars_x000a_/FF" dataDxfId="46">
      <calculatedColumnFormula>G2/I2</calculatedColumnFormula>
    </tableColumn>
    <tableColumn id="14" xr3:uid="{BE383ECB-44B3-4BED-AC88-46980E8FA8E9}" name="Dollars_x000a_/Acre" dataDxfId="45">
      <calculatedColumnFormula>G2/K2</calculatedColumnFormula>
    </tableColumn>
    <tableColumn id="15" xr3:uid="{D89BB599-8D72-4338-99F9-F399AD61C662}" name="Dollars_x000a_/SqFt" dataDxfId="44">
      <calculatedColumnFormula>G2/K2/43560</calculatedColumnFormula>
    </tableColumn>
    <tableColumn id="16" xr3:uid="{599AAB57-BDE7-4E3E-9389-99713A37C00F}" name="ECF Area" dataDxfId="43"/>
    <tableColumn id="18" xr3:uid="{BF06D1C2-EBC6-4ECC-9F6B-37FE4D8661DA}" name="Other Parcels in Sale" dataDxfId="42"/>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DC2FB6D-10BD-4A5D-9BE6-42EA11888215}" name="Table10" displayName="Table10" ref="A1:Q5" totalsRowShown="0" dataDxfId="41" tableBorderDxfId="40">
  <autoFilter ref="A1:Q5" xr:uid="{A6BA1B33-AE44-4F54-8A9F-87C42534C6ED}"/>
  <tableColumns count="17">
    <tableColumn id="1" xr3:uid="{C24B97EF-46DC-4E99-B0A4-EEC958B1B38C}" name="Parcel Number" dataDxfId="39"/>
    <tableColumn id="2" xr3:uid="{8FB4E7F4-36AF-4981-A5FD-5A7FF81AA3CD}" name="Street Address" dataDxfId="38"/>
    <tableColumn id="3" xr3:uid="{7054ABEF-5D0C-4857-BEB0-5D18DC347E81}" name="Sale Date" dataDxfId="37"/>
    <tableColumn id="4" xr3:uid="{08099CFF-B8AB-470E-8D39-5F30E994A1D4}" name="Sale Price" dataDxfId="36"/>
    <tableColumn id="5" xr3:uid="{30D48271-A44F-44EB-B7A2-ECC4A6E3F370}" name="Instr." dataDxfId="35"/>
    <tableColumn id="6" xr3:uid="{74D8E581-5D68-4361-8790-EEE5DE9F0A12}" name="Adj. Sale $" dataDxfId="34"/>
    <tableColumn id="7" xr3:uid="{C75C39C7-7FB5-4DAE-A087-1E58DC920341}" name="Land_x000a_Residual" dataDxfId="33"/>
    <tableColumn id="8" xr3:uid="{993B618A-B289-43C8-A82F-C2A7BD8D6D2E}" name="Est. Land_x000a_Value" dataDxfId="32"/>
    <tableColumn id="9" xr3:uid="{CAEFB83C-8870-4E30-A8C4-61D53C642C76}" name="Effec. Front" dataDxfId="31"/>
    <tableColumn id="10" xr3:uid="{0CA438F6-F7B0-4D74-A5FA-4D7FD7472972}" name="Depth" dataDxfId="30"/>
    <tableColumn id="11" xr3:uid="{15CB8958-D88A-472B-8749-28A0551FB757}" name="Net Acres" dataDxfId="29"/>
    <tableColumn id="12" xr3:uid="{C9995718-6391-40DA-B490-CBDB4404EC48}" name="Total Acres" dataDxfId="28"/>
    <tableColumn id="13" xr3:uid="{DBFA9FFA-A8C9-42EA-8D9F-C07F98022555}" name="Dollars_x000a_/FF" dataDxfId="27">
      <calculatedColumnFormula>G2/I2</calculatedColumnFormula>
    </tableColumn>
    <tableColumn id="14" xr3:uid="{D3C5CE1B-6DA0-4665-ABBE-BBA50320779E}" name="Dollars_x000a_/Acre" dataDxfId="26">
      <calculatedColumnFormula>G2/K2</calculatedColumnFormula>
    </tableColumn>
    <tableColumn id="15" xr3:uid="{6A1E3693-E950-43E2-A462-668C6E6C7D2B}" name="Dollars_x000a_/SqFt" dataDxfId="25">
      <calculatedColumnFormula>G2/K2/43560</calculatedColumnFormula>
    </tableColumn>
    <tableColumn id="17" xr3:uid="{F5802CB3-5633-4B56-9EE3-06376F370238}" name="ECF Area" dataDxfId="24"/>
    <tableColumn id="19" xr3:uid="{DB8C8200-1C31-4B79-A0A8-22CFA643F271}" name="Other Parcels in Sale" dataDxfId="23"/>
  </tableColumns>
  <tableStyleInfo name="TableStyleLight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E9F4C8-BA07-493F-AD86-B86202D6C8E2}" name="Table11" displayName="Table11" ref="A10:Q15" totalsRowShown="0" dataDxfId="22" tableBorderDxfId="21">
  <autoFilter ref="A10:Q15" xr:uid="{57793205-063D-4CA7-A557-37DEC1235662}"/>
  <tableColumns count="17">
    <tableColumn id="1" xr3:uid="{E6EAC445-2FBB-47FF-8829-665C69036F54}" name="Parcel Number" dataDxfId="20"/>
    <tableColumn id="2" xr3:uid="{6AC13321-5BA8-4EAE-8F60-EF5F2578A834}" name="Street Address" dataDxfId="19"/>
    <tableColumn id="3" xr3:uid="{A340E074-2942-4AC6-BD90-5562F43DA413}" name="Sale Date" dataDxfId="18"/>
    <tableColumn id="4" xr3:uid="{1C65CAF6-EE0C-4053-9A51-C18169E6497A}" name="Sale Price" dataDxfId="17"/>
    <tableColumn id="5" xr3:uid="{126B4F36-9865-49F5-8914-BB7802314879}" name="Instr." dataDxfId="16"/>
    <tableColumn id="6" xr3:uid="{77311513-8515-4E66-8AEE-5960E98219E7}" name="Adj. Sale $" dataDxfId="15"/>
    <tableColumn id="7" xr3:uid="{CBBDB38A-B99B-47DD-A1ED-8DB60CDCB86A}" name="Land_x000a_Residual" dataDxfId="14"/>
    <tableColumn id="8" xr3:uid="{6AAB4445-7A91-4A99-B43B-D6CF555DD9DB}" name="Est. Land_x000a_Value" dataDxfId="13"/>
    <tableColumn id="9" xr3:uid="{5D60BCD6-98A3-4F93-BA3F-0D7759F4B5B2}" name="Effec. Front" dataDxfId="12"/>
    <tableColumn id="10" xr3:uid="{C2A40D34-C425-4E0A-88B4-21E426E91199}" name="Depth" dataDxfId="11"/>
    <tableColumn id="11" xr3:uid="{90F95A7C-E171-4E01-AB02-220570A56D18}" name="Net Acres" dataDxfId="10"/>
    <tableColumn id="12" xr3:uid="{336AAE03-9456-4614-B3CE-5328CBFF4DBA}" name="Total Acres" dataDxfId="9"/>
    <tableColumn id="13" xr3:uid="{C378489E-23C9-46DF-B120-689BC4245409}" name="Dollars_x000a_/FF" dataDxfId="8">
      <calculatedColumnFormula>G11/I11</calculatedColumnFormula>
    </tableColumn>
    <tableColumn id="14" xr3:uid="{6451B472-AC88-4E76-9C3F-825897206717}" name="Dollars_x000a_/Acre" dataDxfId="7">
      <calculatedColumnFormula>G11/K11</calculatedColumnFormula>
    </tableColumn>
    <tableColumn id="15" xr3:uid="{C9FF68C8-B562-4191-AE10-EFE485B45C35}" name="Dollars_x000a_/SqFt" dataDxfId="6">
      <calculatedColumnFormula>G11/K11/43560</calculatedColumnFormula>
    </tableColumn>
    <tableColumn id="17" xr3:uid="{6A432A8C-2E49-4085-B378-E236A774B501}" name="ECF Area" dataDxfId="5"/>
    <tableColumn id="16" xr3:uid="{70B4A30D-6EA3-4594-B21F-21088EF420E1}" name="Other Parcels in Sale" dataDxfId="4"/>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B8CE60D-D4D5-4DA6-8622-B61B2E6590F1}" name="Table18" displayName="Table18" ref="G49:N53" totalsRowShown="0" headerRowDxfId="177" dataDxfId="176" headerRowCellStyle="Normal 17" dataCellStyle="Normal 17">
  <autoFilter ref="G49:N53" xr:uid="{CB8CE60D-D4D5-4DA6-8622-B61B2E6590F1}"/>
  <tableColumns count="8">
    <tableColumn id="1" xr3:uid="{2025053B-9F5D-4103-BABF-9FFC725D9432}" name="Column1" dataDxfId="175" dataCellStyle="Normal 17"/>
    <tableColumn id="2" xr3:uid="{A0594F87-7679-47E3-BAE8-1B9D47D0AC61}" name="Column2" dataDxfId="174" dataCellStyle="Normal 17"/>
    <tableColumn id="3" xr3:uid="{1C9F18F4-5EFA-438A-BF50-732830800F6D}" name="Column3" dataDxfId="173" dataCellStyle="Normal 17"/>
    <tableColumn id="4" xr3:uid="{D30B904A-46C6-4185-8206-BD6DD5AA3874}" name="Column4" dataDxfId="172" dataCellStyle="Normal 17"/>
    <tableColumn id="5" xr3:uid="{C248B34B-5D33-4050-AD26-8BC2A0E44B66}" name="Column5" dataDxfId="171" dataCellStyle="Normal 17"/>
    <tableColumn id="6" xr3:uid="{0A515907-1326-4AF3-B81F-8485854032AB}" name="Column6" dataDxfId="170" dataCellStyle="Normal 17"/>
    <tableColumn id="7" xr3:uid="{EFF4055E-588E-4414-AE41-D1AF9E09EA6E}" name="Column7"/>
    <tableColumn id="8" xr3:uid="{B8C9F0DF-2621-4410-8F22-68F09A54AB7A}" name="Column8"/>
  </tableColumns>
  <tableStyleInfo name="TableStyleMedium2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D12A613-6728-4F3D-A724-B03D1325BCF7}" name="Table9" displayName="Table9" ref="H11:O15" totalsRowShown="0" headerRowDxfId="169" headerRowCellStyle="Normal 17">
  <autoFilter ref="H11:O15" xr:uid="{9D12A613-6728-4F3D-A724-B03D1325BCF7}"/>
  <tableColumns count="8">
    <tableColumn id="1" xr3:uid="{DE5F5066-D3FA-4D31-AD4F-7BB044AE7288}" name="Column1"/>
    <tableColumn id="2" xr3:uid="{ECD31411-2487-4FB3-A69C-8FF51E901451}" name="Column2"/>
    <tableColumn id="3" xr3:uid="{F2504EB1-3918-4927-9D3E-102A0098C990}" name="Column3"/>
    <tableColumn id="4" xr3:uid="{FC9CE4BA-B350-404F-ACD9-CD0C56D5AC01}" name="Column4"/>
    <tableColumn id="5" xr3:uid="{08EA4DEA-7CAA-41EF-AE80-4560CD5F4D8B}" name="Column5"/>
    <tableColumn id="6" xr3:uid="{75C76089-D986-48FE-8F5A-55BC3C0061DA}" name="Column6"/>
    <tableColumn id="7" xr3:uid="{7DACA061-7235-44F1-B2AF-D3D6750CD971}" name="Column7"/>
    <tableColumn id="8" xr3:uid="{2D18AC7F-D953-481D-8D42-8E4E89EF8196}" name="Column8"/>
  </tableColumns>
  <tableStyleInfo name="TableStyleMedium2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C7506AB-EA85-4A78-A76A-D9A0D5F54D84}" name="Table1510" displayName="Table1510" ref="A1:Q21" totalsRowShown="0" dataDxfId="168" tableBorderDxfId="167">
  <autoFilter ref="A1:Q21" xr:uid="{62E5875A-DF88-4E85-8952-CAFA64CDBA2B}"/>
  <sortState xmlns:xlrd2="http://schemas.microsoft.com/office/spreadsheetml/2017/richdata2" ref="A2:Q21">
    <sortCondition ref="A1:A21"/>
  </sortState>
  <tableColumns count="17">
    <tableColumn id="1" xr3:uid="{2A0EE840-AA31-4F81-A874-DD01E4F61548}" name="Parcel Number" dataDxfId="166"/>
    <tableColumn id="2" xr3:uid="{6B00E3F9-D3A5-46AF-8AD6-56609D0AA7D2}" name="Street Address" dataDxfId="165"/>
    <tableColumn id="3" xr3:uid="{872D7B55-609F-41BA-91A4-B052813A336D}" name="Sale Date" dataDxfId="164"/>
    <tableColumn id="4" xr3:uid="{FB4A362E-3A97-498C-8244-2CD042D2AB26}" name="Sale Price" dataDxfId="163"/>
    <tableColumn id="5" xr3:uid="{B69A003C-81F7-475B-B914-8C84ADF81CDB}" name="Instr." dataDxfId="162"/>
    <tableColumn id="6" xr3:uid="{A8B4F679-42D5-4AFA-B920-BEA72C9CEE4E}" name="Adj. Sale $" dataDxfId="161"/>
    <tableColumn id="7" xr3:uid="{B8AEE6B9-06A0-4A19-ADC6-0C1BB0E20D7E}" name="Land_x000a_Residual" dataDxfId="160">
      <calculatedColumnFormula>F2-0</calculatedColumnFormula>
    </tableColumn>
    <tableColumn id="8" xr3:uid="{E850EF13-C6E4-4403-9989-699D66E2FB75}" name="Est. Land_x000a_Value" dataDxfId="159"/>
    <tableColumn id="9" xr3:uid="{1CBF5BBD-6176-4A15-BA24-E6FC9792FE2C}" name="Effec. Front" dataDxfId="158"/>
    <tableColumn id="10" xr3:uid="{6D81685B-30BF-4038-A09F-308CFF34AECA}" name="Depth" dataDxfId="157"/>
    <tableColumn id="11" xr3:uid="{5C4F232A-9648-4F9A-85B8-320DE3883C60}" name="Net Acres" dataDxfId="156"/>
    <tableColumn id="12" xr3:uid="{9FCCAAC1-C4F1-4A11-9AEA-BA9A823AAA29}" name="Total Acres" dataDxfId="155"/>
    <tableColumn id="13" xr3:uid="{DAE3CC85-846B-40C7-BCD8-43F143F2DCB8}" name="Dollars_x000a_/FF" dataDxfId="154">
      <calculatedColumnFormula>G2/I2</calculatedColumnFormula>
    </tableColumn>
    <tableColumn id="14" xr3:uid="{AB12C6B1-FA4F-492C-9692-22DD202386F8}" name="Dollars_x000a_/Acre" dataDxfId="153">
      <calculatedColumnFormula>G2/K2</calculatedColumnFormula>
    </tableColumn>
    <tableColumn id="15" xr3:uid="{AB47DB47-0B43-4F06-B4F3-ABF3F8AF53A7}" name="Dollars_x000a_/SqFt" dataDxfId="152">
      <calculatedColumnFormula>G2/K2/43560</calculatedColumnFormula>
    </tableColumn>
    <tableColumn id="16" xr3:uid="{A4104854-80CC-44C7-BE62-67F4B3AC2F63}" name="ECF Area" dataDxfId="151"/>
    <tableColumn id="18" xr3:uid="{73965072-AAAF-4049-AE46-0147F1739E31}" name="Other Parcels in Sale" dataDxfId="150"/>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C3B4D8-B21F-46A1-8FB2-2203D43CA7E6}" name="Table1414" displayName="Table1414" ref="A26:Q36" totalsRowShown="0" dataDxfId="149" tableBorderDxfId="148">
  <autoFilter ref="A26:Q36" xr:uid="{30DEE6A2-4F10-47F9-9F2A-61F6E20B1F28}"/>
  <sortState xmlns:xlrd2="http://schemas.microsoft.com/office/spreadsheetml/2017/richdata2" ref="A27:Q36">
    <sortCondition ref="A26:A36"/>
  </sortState>
  <tableColumns count="17">
    <tableColumn id="1" xr3:uid="{D6954BDB-AAD5-4A2F-857A-CBC58A47D840}" name="Parcel Number" dataDxfId="147"/>
    <tableColumn id="2" xr3:uid="{DAD691DE-B01C-4E11-9F3F-0B286C3D89F6}" name="Street Address" dataDxfId="146"/>
    <tableColumn id="3" xr3:uid="{BDE9891B-B5E8-46A8-A9E2-AC6FEA5D4189}" name="Sale Date" dataDxfId="145"/>
    <tableColumn id="4" xr3:uid="{DB7E7FA6-FACE-4B74-9031-C95C0FD68821}" name="Sale Price" dataDxfId="144"/>
    <tableColumn id="5" xr3:uid="{A297A70C-A746-4809-8F63-324D7685A7F5}" name="Instr." dataDxfId="143"/>
    <tableColumn id="6" xr3:uid="{E44E9317-FC0D-4E0B-9523-430B560F6272}" name="Adj. Sale $" dataDxfId="142"/>
    <tableColumn id="7" xr3:uid="{BD88EE0B-CEFC-446B-82D2-45BF9E27EA9D}" name="Land_x000a_Residual" dataDxfId="141">
      <calculatedColumnFormula>F27-0</calculatedColumnFormula>
    </tableColumn>
    <tableColumn id="8" xr3:uid="{7F8896EF-7374-4EAB-B9E6-9E652DDC6C87}" name="Est. Land_x000a_Value" dataDxfId="140"/>
    <tableColumn id="9" xr3:uid="{71E03D56-D5D5-46BB-AA24-9E16FCBA7C11}" name="Effec. Front" dataDxfId="139"/>
    <tableColumn id="10" xr3:uid="{80874632-7C5D-47D2-BD91-54621E256290}" name="Depth" dataDxfId="138"/>
    <tableColumn id="11" xr3:uid="{477D640D-B51C-418B-A986-7F3A0F2CE6C1}" name="Net Acres" dataDxfId="137"/>
    <tableColumn id="12" xr3:uid="{3025E07F-1A5B-4B9F-8B87-7D161AF32EC1}" name="Total Acres" dataDxfId="136"/>
    <tableColumn id="13" xr3:uid="{8474BB90-88F9-4295-BE08-2C1F973FD3BA}" name="Dollars_x000a_/FF" dataDxfId="135">
      <calculatedColumnFormula>G27/I27</calculatedColumnFormula>
    </tableColumn>
    <tableColumn id="14" xr3:uid="{4BC0E77B-A1D8-47CF-941B-C1C23892492C}" name="Dollars_x000a_/Acre" dataDxfId="134">
      <calculatedColumnFormula>G27/K27</calculatedColumnFormula>
    </tableColumn>
    <tableColumn id="15" xr3:uid="{B5255C6B-CEBD-4DF1-BF37-41A34F53A286}" name="Dollars_x000a_/SqFt" dataDxfId="133">
      <calculatedColumnFormula>G27/K27/43560</calculatedColumnFormula>
    </tableColumn>
    <tableColumn id="16" xr3:uid="{7886C4FD-155A-4666-A708-3FC2558716EF}" name="ECF Area" dataDxfId="132"/>
    <tableColumn id="18" xr3:uid="{D680FD86-A725-4669-B4C1-71CEB8966E75}" name="Other Parcels in Sale" dataDxfId="131"/>
  </tableColumns>
  <tableStyleInfo name="TableStyleLight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8162DCF-CF3E-416B-82FC-FD4384E064A9}" name="Table19" displayName="Table19" ref="A41:Q43" totalsRowShown="0" tableBorderDxfId="130">
  <autoFilter ref="A41:Q43" xr:uid="{3CA57B8E-9613-407C-9645-181028BA67A6}"/>
  <tableColumns count="17">
    <tableColumn id="1" xr3:uid="{77815508-0B81-475F-83FF-541B1F6351A8}" name="Parcel Number"/>
    <tableColumn id="2" xr3:uid="{D46B5DAD-99DD-4DA2-BE17-A900F48FDBA2}" name="Street Address"/>
    <tableColumn id="3" xr3:uid="{E702C813-DA83-40D8-B040-FECD47ECBBF2}" name="Sale Date" dataDxfId="129"/>
    <tableColumn id="4" xr3:uid="{A3C97BED-AA27-42F4-9EB7-94622EB7CDA7}" name="Sale Price"/>
    <tableColumn id="5" xr3:uid="{36161D4E-11A5-4935-A825-54C4E10BACBA}" name="Instr."/>
    <tableColumn id="6" xr3:uid="{69519A80-CD54-4B37-943D-5F72E1B2CBF3}" name="Adj. Sale $" dataDxfId="128"/>
    <tableColumn id="7" xr3:uid="{FA2743EA-7EE2-40B4-810E-89B19E0D9993}" name="Land_x000a_Residual" dataDxfId="127">
      <calculatedColumnFormula>F42-237525</calculatedColumnFormula>
    </tableColumn>
    <tableColumn id="8" xr3:uid="{73FADD21-BE9F-477D-9410-294F39EA0F25}" name="Est. Land_x000a_Value" dataDxfId="126"/>
    <tableColumn id="9" xr3:uid="{3C27A954-24E5-4890-B416-27249BF40A05}" name="Effec. Front" dataDxfId="125"/>
    <tableColumn id="10" xr3:uid="{3A230D40-6132-4FCD-9AF9-F922EE8DE575}" name="Depth"/>
    <tableColumn id="11" xr3:uid="{745A72DE-3845-441F-A109-6B5A0F078006}" name="Net Acres"/>
    <tableColumn id="12" xr3:uid="{D1EDA81C-B8CE-48EE-98FD-AA11EDEED561}" name="Total Acres" dataDxfId="124"/>
    <tableColumn id="13" xr3:uid="{932A2060-B9D4-4F8C-84DB-A7D6AA8B31E8}" name="Dollars_x000a_/FF" dataDxfId="123">
      <calculatedColumnFormula>G42/I42</calculatedColumnFormula>
    </tableColumn>
    <tableColumn id="14" xr3:uid="{99CDEF76-0C9A-4CF8-90BB-5755CB292E48}" name="Dollars_x000a_/Acre" dataDxfId="122">
      <calculatedColumnFormula>G42/K42</calculatedColumnFormula>
    </tableColumn>
    <tableColumn id="15" xr3:uid="{AF4A8C86-8D66-4AE2-8640-F0CBDF5C0069}" name="Dollars_x000a_/SqFt" dataDxfId="121">
      <calculatedColumnFormula>G42/K42/43560</calculatedColumnFormula>
    </tableColumn>
    <tableColumn id="16" xr3:uid="{07D6BDBB-A79D-4280-898F-DB01DF303CF5}" name="ECF Area"/>
    <tableColumn id="17" xr3:uid="{66D8F0FA-6901-43F3-9B59-E0048F440BBD}" name="Other Parcels in Sale"/>
  </tableColumns>
  <tableStyleInfo name="TableStyleLight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1D02FBA-2466-4381-AC4E-0E5AF9B1695A}" name="Table20" displayName="Table20" ref="A1:P8" totalsRowShown="0" headerRowDxfId="120" dataDxfId="119" tableBorderDxfId="118">
  <autoFilter ref="A1:P8" xr:uid="{42AA7697-90A0-4187-AE2F-547F3FEE6477}"/>
  <sortState xmlns:xlrd2="http://schemas.microsoft.com/office/spreadsheetml/2017/richdata2" ref="A2:P8">
    <sortCondition ref="J1:J8"/>
  </sortState>
  <tableColumns count="16">
    <tableColumn id="1" xr3:uid="{A5B51311-8D50-434F-8A8E-A8955630663C}" name="Parcel Number" dataDxfId="117"/>
    <tableColumn id="2" xr3:uid="{EFD4C6B1-472C-432C-B166-F3D43085F9FD}" name="Street Address" dataDxfId="116"/>
    <tableColumn id="3" xr3:uid="{3E826256-1E69-4364-B47B-ED534296E911}" name="Sale Date" dataDxfId="115"/>
    <tableColumn id="4" xr3:uid="{9FAE0450-C677-4AC2-8B7E-503EDF79CDAF}" name="Sale Price" dataDxfId="114"/>
    <tableColumn id="5" xr3:uid="{69602584-3FAD-48A3-8B5B-CBECDF18660F}" name="Instr." dataDxfId="113"/>
    <tableColumn id="6" xr3:uid="{BD5C0448-205B-4EDE-890B-343EC57E78DB}" name="Adj. Sale $" dataDxfId="112"/>
    <tableColumn id="7" xr3:uid="{DB4AE706-BB99-409F-A4DB-12ABEF4E427B}" name="Land_x000a_Residual" dataDxfId="111">
      <calculatedColumnFormula>F2</calculatedColumnFormula>
    </tableColumn>
    <tableColumn id="9" xr3:uid="{9B1949FF-3A9B-42C3-840D-30CA0474E89B}" name="Effec. Front" dataDxfId="110"/>
    <tableColumn id="10" xr3:uid="{95E8A380-3BF1-42B3-B9D4-8B4FDAFE1CB7}" name="Depth" dataDxfId="109">
      <calculatedColumnFormula>(J2*43560)/H2</calculatedColumnFormula>
    </tableColumn>
    <tableColumn id="11" xr3:uid="{70BE67E5-2E2A-476B-9732-1E95EF25C13D}" name="Net Acres" dataDxfId="108"/>
    <tableColumn id="12" xr3:uid="{57332C9F-91FB-48A0-AA9F-BDFF012AF654}" name="Total Acres" dataDxfId="107"/>
    <tableColumn id="13" xr3:uid="{04D9B715-4D1F-457C-B09E-D4ADB97E6375}" name="Dollars_x000a_/FF" dataDxfId="106">
      <calculatedColumnFormula>G2/H2</calculatedColumnFormula>
    </tableColumn>
    <tableColumn id="14" xr3:uid="{61C955D0-89AF-4E97-B3A1-9AEAD5535307}" name="Dollars_x000a_/Acre" dataDxfId="105">
      <calculatedColumnFormula>G2/J2</calculatedColumnFormula>
    </tableColumn>
    <tableColumn id="15" xr3:uid="{AF2FDA4A-8076-437B-A6E6-2495EB22DF80}" name="Dollars_x000a_/SqFt" dataDxfId="104">
      <calculatedColumnFormula>G2/J2/43560</calculatedColumnFormula>
    </tableColumn>
    <tableColumn id="16" xr3:uid="{87006195-7504-4128-AA96-8BE1F2752594}" name="Liber/Page" dataDxfId="103"/>
    <tableColumn id="17" xr3:uid="{FFE4CD26-218D-446B-B644-2F761DF4198A}" name="Other Parcels in Sale" dataDxfId="102"/>
  </tableColumns>
  <tableStyleInfo name="TableStyleLight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CA691EF-F38B-4B3A-906D-E2440DA867ED}" name="Table2" displayName="Table2" ref="A1:Q9" totalsRowShown="0" headerRowDxfId="101" dataDxfId="99" headerRowBorderDxfId="100" tableBorderDxfId="98">
  <autoFilter ref="A1:Q9" xr:uid="{5A1E0016-1C86-4FCB-86C7-E1D941B052E3}"/>
  <sortState xmlns:xlrd2="http://schemas.microsoft.com/office/spreadsheetml/2017/richdata2" ref="A2:Q9">
    <sortCondition ref="C1:C9"/>
  </sortState>
  <tableColumns count="17">
    <tableColumn id="1" xr3:uid="{94D45B80-D863-4F17-8FCF-AF58036294AE}" name="Parcel Number" dataDxfId="97"/>
    <tableColumn id="2" xr3:uid="{FEACC910-1792-47D8-8788-797BDCD4918A}" name="Street Address" dataDxfId="96"/>
    <tableColumn id="3" xr3:uid="{4F2888B2-1062-4E78-A3B2-C01ED62EBBA1}" name="Sale Date" dataDxfId="95"/>
    <tableColumn id="4" xr3:uid="{1F3DD4FD-911E-41D0-83DF-BD4B6EAD0075}" name="Sale Price" dataDxfId="94"/>
    <tableColumn id="5" xr3:uid="{AC98F323-D90E-4FD8-AC12-735E43AF7DD3}" name="Instr." dataDxfId="93"/>
    <tableColumn id="6" xr3:uid="{93F44D5D-1B26-4884-A98A-14C0CCC6AE78}" name="Adj. Sale $" dataDxfId="92"/>
    <tableColumn id="7" xr3:uid="{795B42CB-31C1-49FC-8D67-60DC68D92113}" name="Land_x000a_Residual" dataDxfId="91"/>
    <tableColumn id="8" xr3:uid="{24FA8471-37F5-46A4-9236-7EACCEC93807}" name="Est. Land_x000a_Value" dataDxfId="90"/>
    <tableColumn id="9" xr3:uid="{525C6F1B-2DD0-4F28-A809-15017D47DE98}" name="Effec. Front" dataDxfId="89"/>
    <tableColumn id="10" xr3:uid="{25159C82-AF59-43B5-BCD6-C61E9D82E179}" name="Depth" dataDxfId="88"/>
    <tableColumn id="11" xr3:uid="{5D50883F-8009-419C-971F-ED72B9AFC04A}" name="Net Acres" dataDxfId="87"/>
    <tableColumn id="12" xr3:uid="{BD8274E0-2B01-45A3-A1D4-79E807E658DB}" name="Total Acres" dataDxfId="86"/>
    <tableColumn id="13" xr3:uid="{1EA551AB-CCA1-4028-94D9-D010529B92A3}" name="Dollars_x000a_/FF" dataDxfId="85"/>
    <tableColumn id="14" xr3:uid="{2D2E02D6-9D94-40D5-BC95-220BEA4CE884}" name="Dollars_x000a_/Acre" dataDxfId="84">
      <calculatedColumnFormula>G2/K2</calculatedColumnFormula>
    </tableColumn>
    <tableColumn id="15" xr3:uid="{69B7E364-BD45-477C-9781-4372924B35E3}" name="Dollars_x000a_/SqFt" dataDxfId="83">
      <calculatedColumnFormula>G2/K2/43560</calculatedColumnFormula>
    </tableColumn>
    <tableColumn id="16" xr3:uid="{64C4184D-CF2B-454B-BE8D-B4F6C35FFB0E}" name="ECF Area" dataDxfId="82"/>
    <tableColumn id="17" xr3:uid="{1A3C7B19-39EF-45EA-9BF9-E936577833F2}" name="Other Parcels in Sale" dataDxfId="81"/>
  </tableColumns>
  <tableStyleInfo name="Red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0A8F338-6B10-4A8F-AAB3-AB68914D2DCA}" name="Table12" displayName="Table12" ref="A1:Q5" totalsRowShown="0" dataDxfId="80">
  <autoFilter ref="A1:Q5" xr:uid="{0D27F3CD-5E5B-4128-803C-9D7E7934F16D}"/>
  <tableColumns count="17">
    <tableColumn id="1" xr3:uid="{6D931C12-8A56-4C6F-A907-DF2D72585299}" name="Parcel Number" dataDxfId="79"/>
    <tableColumn id="2" xr3:uid="{DA8B1D7E-20A6-4C25-AB56-6BCE3624D7F7}" name="Street Address" dataDxfId="78"/>
    <tableColumn id="3" xr3:uid="{980BF167-BFF6-4D93-B8B7-807728A0D77D}" name="Sale Date" dataDxfId="77"/>
    <tableColumn id="4" xr3:uid="{494A8C0F-6AFE-4D80-B26D-58C87B19710C}" name="Sale Price" dataDxfId="76"/>
    <tableColumn id="5" xr3:uid="{F9686153-CA87-456B-BA99-AB843788CA91}" name="Instr." dataDxfId="75"/>
    <tableColumn id="6" xr3:uid="{25852562-A0E2-4CC2-BDC2-D9C47F302577}" name="Adj. Sale $" dataDxfId="74"/>
    <tableColumn id="7" xr3:uid="{56AB82AD-7B49-4A74-B721-E077A9C05F66}" name="Land_x000a_Residual" dataDxfId="73"/>
    <tableColumn id="8" xr3:uid="{E0FED5B6-8F53-43BB-BA46-7B8C158EC4E9}" name="Est. Land_x000a_Value" dataDxfId="72"/>
    <tableColumn id="9" xr3:uid="{D441E118-AB58-486D-9277-6ABD01848285}" name="Effec. Front" dataDxfId="71"/>
    <tableColumn id="10" xr3:uid="{144CD1FE-EEE7-4741-ABB6-4D5E283CB002}" name="Depth" dataDxfId="70"/>
    <tableColumn id="11" xr3:uid="{E273D481-5140-4218-9D1A-B8A9E70C7633}" name="Net Acres" dataDxfId="69"/>
    <tableColumn id="12" xr3:uid="{F5732B08-1CAF-4FAC-A60E-93D9C233DCEF}" name="Total Acres" dataDxfId="68"/>
    <tableColumn id="13" xr3:uid="{8D202F13-82FE-434D-A75B-57EF6FC1FE8C}" name="Dollars_x000a_/FF" dataDxfId="67"/>
    <tableColumn id="14" xr3:uid="{FC6047B7-A704-4A40-83C8-CF69FFD08822}" name="Dollars_x000a_/Acre" dataDxfId="66">
      <calculatedColumnFormula>G2/K2</calculatedColumnFormula>
    </tableColumn>
    <tableColumn id="15" xr3:uid="{9D8E7632-457C-41CF-85A5-9DEE6D04E271}" name="Dollars_x000a_/SqFt" dataDxfId="65">
      <calculatedColumnFormula>G2/K2/43560</calculatedColumnFormula>
    </tableColumn>
    <tableColumn id="16" xr3:uid="{6233EF67-64FD-40CA-BE8E-2F94019180FF}" name="ECF Area" dataDxfId="64"/>
    <tableColumn id="17" xr3:uid="{39B1BD7D-5D83-47A2-B9C1-FAFD9A04DF3D}" name="Other Parcels in Sale" dataDxfId="63"/>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160C-EC0E-4F8C-9389-889F2BE603AE}">
  <sheetPr>
    <pageSetUpPr fitToPage="1"/>
  </sheetPr>
  <dimension ref="A1:AV41"/>
  <sheetViews>
    <sheetView view="pageLayout" zoomScaleNormal="100" workbookViewId="0">
      <selection activeCell="D24" sqref="D24"/>
    </sheetView>
  </sheetViews>
  <sheetFormatPr defaultRowHeight="15" x14ac:dyDescent="0.25"/>
  <cols>
    <col min="1" max="1" width="19.140625" style="214" bestFit="1" customWidth="1"/>
    <col min="2" max="2" width="19.42578125" style="214" bestFit="1" customWidth="1"/>
    <col min="3" max="3" width="12.7109375" style="60" customWidth="1"/>
    <col min="4" max="4" width="11.7109375" style="215" customWidth="1"/>
    <col min="5" max="5" width="6.140625" style="2" customWidth="1"/>
    <col min="6" max="8" width="12.7109375" style="215" customWidth="1"/>
    <col min="9" max="9" width="7.7109375" style="216" customWidth="1"/>
    <col min="10" max="10" width="8.28515625" style="217" bestFit="1" customWidth="1"/>
    <col min="11" max="11" width="14.28515625" style="218" bestFit="1" customWidth="1"/>
    <col min="12" max="12" width="13" style="218" customWidth="1"/>
    <col min="13" max="13" width="8.85546875" style="215" customWidth="1"/>
    <col min="14" max="14" width="10.28515625" style="215" bestFit="1" customWidth="1"/>
    <col min="15" max="15" width="10.5703125" style="219" bestFit="1" customWidth="1"/>
    <col min="16" max="16" width="8.7109375" style="218" bestFit="1" customWidth="1"/>
    <col min="17" max="17" width="19.7109375" style="341" customWidth="1"/>
    <col min="18" max="18" width="10" bestFit="1" customWidth="1"/>
  </cols>
  <sheetData>
    <row r="1" spans="1:48" s="341" customFormat="1" ht="30" x14ac:dyDescent="0.25">
      <c r="A1" s="70" t="s">
        <v>0</v>
      </c>
      <c r="B1" s="70" t="s">
        <v>1</v>
      </c>
      <c r="C1" s="71" t="s">
        <v>2</v>
      </c>
      <c r="D1" s="72" t="s">
        <v>3</v>
      </c>
      <c r="E1" s="70" t="s">
        <v>4</v>
      </c>
      <c r="F1" s="72" t="s">
        <v>254</v>
      </c>
      <c r="G1" s="72" t="s">
        <v>255</v>
      </c>
      <c r="H1" s="72" t="s">
        <v>256</v>
      </c>
      <c r="I1" s="73" t="s">
        <v>12</v>
      </c>
      <c r="J1" s="74" t="s">
        <v>13</v>
      </c>
      <c r="K1" s="75" t="s">
        <v>14</v>
      </c>
      <c r="L1" s="75" t="s">
        <v>15</v>
      </c>
      <c r="M1" s="72" t="s">
        <v>257</v>
      </c>
      <c r="N1" s="152" t="s">
        <v>258</v>
      </c>
      <c r="O1" s="76" t="s">
        <v>259</v>
      </c>
      <c r="P1" s="77" t="s">
        <v>20</v>
      </c>
      <c r="Q1" s="78" t="s">
        <v>22</v>
      </c>
      <c r="R1" s="340"/>
      <c r="S1" s="340"/>
      <c r="T1" s="340"/>
      <c r="U1" s="80"/>
      <c r="V1" s="80" t="s">
        <v>260</v>
      </c>
      <c r="W1" s="81" t="s">
        <v>261</v>
      </c>
      <c r="X1" s="81" t="s">
        <v>260</v>
      </c>
      <c r="Y1" s="82" t="s">
        <v>261</v>
      </c>
      <c r="Z1" s="340"/>
      <c r="AA1" s="340"/>
      <c r="AB1" s="340"/>
      <c r="AC1" s="340"/>
      <c r="AD1" s="340"/>
      <c r="AE1" s="340"/>
      <c r="AF1" s="340"/>
      <c r="AG1" s="340"/>
      <c r="AH1" s="340"/>
      <c r="AI1" s="340"/>
      <c r="AJ1" s="340"/>
      <c r="AK1" s="340"/>
      <c r="AL1" s="340"/>
      <c r="AM1" s="340"/>
      <c r="AN1" s="340"/>
      <c r="AO1" s="340"/>
      <c r="AP1" s="340"/>
      <c r="AQ1" s="340"/>
      <c r="AR1" s="340"/>
      <c r="AS1" s="340"/>
      <c r="AT1" s="340"/>
      <c r="AU1" s="340"/>
      <c r="AV1" s="340"/>
    </row>
    <row r="2" spans="1:48" s="341" customFormat="1" x14ac:dyDescent="0.25">
      <c r="A2" s="352" t="s">
        <v>161</v>
      </c>
      <c r="B2" s="352" t="s">
        <v>162</v>
      </c>
      <c r="C2" s="353">
        <v>44715</v>
      </c>
      <c r="D2" s="354">
        <v>220000</v>
      </c>
      <c r="E2" s="242" t="s">
        <v>32</v>
      </c>
      <c r="F2" s="354">
        <v>220000</v>
      </c>
      <c r="G2" s="354">
        <v>220000</v>
      </c>
      <c r="H2" s="354">
        <v>249900</v>
      </c>
      <c r="I2" s="355">
        <v>0</v>
      </c>
      <c r="J2" s="356">
        <v>0</v>
      </c>
      <c r="K2" s="357">
        <v>57.22</v>
      </c>
      <c r="L2" s="357">
        <v>42.44</v>
      </c>
      <c r="M2" s="354" t="e">
        <v>#DIV/0!</v>
      </c>
      <c r="N2" s="354">
        <v>3844.809507165327</v>
      </c>
      <c r="O2" s="358">
        <v>8.826468106440144E-2</v>
      </c>
      <c r="P2" s="51" t="s">
        <v>39</v>
      </c>
      <c r="Q2" s="242" t="s">
        <v>163</v>
      </c>
      <c r="R2" s="340"/>
      <c r="S2" s="340"/>
      <c r="T2" s="340"/>
      <c r="U2" s="80"/>
      <c r="V2" s="80"/>
      <c r="W2" s="81"/>
      <c r="X2" s="81"/>
      <c r="Y2" s="82"/>
      <c r="Z2" s="340"/>
      <c r="AA2" s="340"/>
      <c r="AB2" s="340"/>
      <c r="AC2" s="340"/>
      <c r="AD2" s="340"/>
      <c r="AE2" s="340"/>
      <c r="AF2" s="340"/>
      <c r="AG2" s="340"/>
      <c r="AH2" s="340"/>
      <c r="AI2" s="340"/>
      <c r="AJ2" s="340"/>
      <c r="AK2" s="340"/>
      <c r="AL2" s="340"/>
      <c r="AM2" s="340"/>
      <c r="AN2" s="340"/>
      <c r="AO2" s="340"/>
      <c r="AP2" s="340"/>
      <c r="AQ2" s="340"/>
      <c r="AR2" s="340"/>
      <c r="AS2" s="340"/>
      <c r="AT2" s="340"/>
      <c r="AU2" s="340"/>
      <c r="AV2" s="340"/>
    </row>
    <row r="3" spans="1:48" s="341" customFormat="1" x14ac:dyDescent="0.25">
      <c r="A3" s="352" t="s">
        <v>163</v>
      </c>
      <c r="B3" s="352" t="s">
        <v>162</v>
      </c>
      <c r="C3" s="353">
        <v>44715</v>
      </c>
      <c r="D3" s="354">
        <v>220000</v>
      </c>
      <c r="E3" s="242" t="s">
        <v>32</v>
      </c>
      <c r="F3" s="354">
        <v>220000</v>
      </c>
      <c r="G3" s="354">
        <v>220000</v>
      </c>
      <c r="H3" s="354">
        <v>249900</v>
      </c>
      <c r="I3" s="355">
        <v>0</v>
      </c>
      <c r="J3" s="356">
        <v>0</v>
      </c>
      <c r="K3" s="357">
        <v>57.22</v>
      </c>
      <c r="L3" s="357">
        <v>14.78</v>
      </c>
      <c r="M3" s="354" t="e">
        <v>#DIV/0!</v>
      </c>
      <c r="N3" s="354">
        <v>3844.809507165327</v>
      </c>
      <c r="O3" s="358">
        <v>8.826468106440144E-2</v>
      </c>
      <c r="P3" s="51" t="s">
        <v>39</v>
      </c>
      <c r="Q3" s="242" t="s">
        <v>161</v>
      </c>
      <c r="R3" s="340"/>
      <c r="S3" s="340"/>
      <c r="T3" s="340"/>
      <c r="U3" s="80"/>
      <c r="V3" s="80"/>
      <c r="W3" s="81"/>
      <c r="X3" s="81"/>
      <c r="Y3" s="82"/>
      <c r="Z3" s="340"/>
      <c r="AA3" s="340"/>
      <c r="AB3" s="340"/>
      <c r="AC3" s="340"/>
      <c r="AD3" s="340"/>
      <c r="AE3" s="340"/>
      <c r="AF3" s="340"/>
      <c r="AG3" s="340"/>
      <c r="AH3" s="340"/>
      <c r="AI3" s="340"/>
      <c r="AJ3" s="340"/>
      <c r="AK3" s="340"/>
      <c r="AL3" s="340"/>
      <c r="AM3" s="340"/>
      <c r="AN3" s="340"/>
      <c r="AO3" s="340"/>
      <c r="AP3" s="340"/>
      <c r="AQ3" s="340"/>
      <c r="AR3" s="340"/>
      <c r="AS3" s="340"/>
      <c r="AT3" s="340"/>
      <c r="AU3" s="340"/>
      <c r="AV3" s="340"/>
    </row>
    <row r="4" spans="1:48" s="341" customFormat="1" x14ac:dyDescent="0.25">
      <c r="A4" s="352" t="s">
        <v>163</v>
      </c>
      <c r="B4" s="352" t="s">
        <v>162</v>
      </c>
      <c r="C4" s="353">
        <v>44715</v>
      </c>
      <c r="D4" s="354">
        <v>220000</v>
      </c>
      <c r="E4" s="242" t="s">
        <v>32</v>
      </c>
      <c r="F4" s="354">
        <v>220000</v>
      </c>
      <c r="G4" s="354">
        <v>220000</v>
      </c>
      <c r="H4" s="354">
        <v>121440</v>
      </c>
      <c r="I4" s="355">
        <v>0</v>
      </c>
      <c r="J4" s="356">
        <v>0</v>
      </c>
      <c r="K4" s="357">
        <v>29.56</v>
      </c>
      <c r="L4" s="357">
        <v>14.78</v>
      </c>
      <c r="M4" s="354" t="e">
        <v>#DIV/0!</v>
      </c>
      <c r="N4" s="354">
        <v>7442.4898511502033</v>
      </c>
      <c r="O4" s="358">
        <v>0.17085605718893948</v>
      </c>
      <c r="P4" s="51" t="s">
        <v>39</v>
      </c>
      <c r="Q4" s="242" t="s">
        <v>163</v>
      </c>
      <c r="R4" s="340"/>
      <c r="S4" s="340"/>
      <c r="T4" s="340"/>
      <c r="U4" s="80"/>
      <c r="V4" s="80"/>
      <c r="W4" s="81"/>
      <c r="X4" s="81"/>
      <c r="Y4" s="82"/>
      <c r="Z4" s="340"/>
      <c r="AA4" s="340"/>
      <c r="AB4" s="340"/>
      <c r="AC4" s="340"/>
      <c r="AD4" s="340"/>
      <c r="AE4" s="340"/>
      <c r="AF4" s="340"/>
      <c r="AG4" s="340"/>
      <c r="AH4" s="340"/>
      <c r="AI4" s="340"/>
      <c r="AJ4" s="340"/>
      <c r="AK4" s="340"/>
      <c r="AL4" s="340"/>
      <c r="AM4" s="340"/>
      <c r="AN4" s="340"/>
      <c r="AO4" s="340"/>
      <c r="AP4" s="340"/>
      <c r="AQ4" s="340"/>
      <c r="AR4" s="340"/>
      <c r="AS4" s="340"/>
      <c r="AT4" s="340"/>
      <c r="AU4" s="340"/>
      <c r="AV4" s="340"/>
    </row>
    <row r="5" spans="1:48" s="341" customFormat="1" x14ac:dyDescent="0.25">
      <c r="A5" s="352" t="s">
        <v>30</v>
      </c>
      <c r="B5" s="352" t="s">
        <v>31</v>
      </c>
      <c r="C5" s="353">
        <v>44665</v>
      </c>
      <c r="D5" s="354">
        <v>35000</v>
      </c>
      <c r="E5" s="242" t="s">
        <v>32</v>
      </c>
      <c r="F5" s="354">
        <v>35000</v>
      </c>
      <c r="G5" s="354">
        <v>35000</v>
      </c>
      <c r="H5" s="354">
        <v>62888</v>
      </c>
      <c r="I5" s="355">
        <v>0</v>
      </c>
      <c r="J5" s="356">
        <v>0</v>
      </c>
      <c r="K5" s="357">
        <v>14.77</v>
      </c>
      <c r="L5" s="357">
        <v>14.77</v>
      </c>
      <c r="M5" s="354" t="e">
        <v>#DIV/0!</v>
      </c>
      <c r="N5" s="354">
        <v>2369.6682464454975</v>
      </c>
      <c r="O5" s="358">
        <v>5.4400097484974694E-2</v>
      </c>
      <c r="P5" s="51" t="s">
        <v>34</v>
      </c>
      <c r="Q5" s="242"/>
      <c r="R5" s="340"/>
      <c r="S5" s="340"/>
      <c r="T5" s="340"/>
      <c r="U5" s="80"/>
      <c r="V5" s="80"/>
      <c r="W5" s="81"/>
      <c r="X5" s="81"/>
      <c r="Y5" s="82"/>
      <c r="Z5" s="340"/>
      <c r="AA5" s="340"/>
      <c r="AB5" s="340"/>
      <c r="AC5" s="340"/>
      <c r="AD5" s="340"/>
      <c r="AE5" s="340"/>
      <c r="AF5" s="340"/>
      <c r="AG5" s="340"/>
      <c r="AH5" s="340"/>
      <c r="AI5" s="340"/>
      <c r="AJ5" s="340"/>
      <c r="AK5" s="340"/>
      <c r="AL5" s="340"/>
      <c r="AM5" s="340"/>
      <c r="AN5" s="340"/>
      <c r="AO5" s="340"/>
      <c r="AP5" s="340"/>
      <c r="AQ5" s="340"/>
      <c r="AR5" s="340"/>
      <c r="AS5" s="340"/>
      <c r="AT5" s="340"/>
      <c r="AU5" s="340"/>
      <c r="AV5" s="340"/>
    </row>
    <row r="6" spans="1:48" s="341" customFormat="1" x14ac:dyDescent="0.25">
      <c r="A6" s="352" t="s">
        <v>69</v>
      </c>
      <c r="B6" s="352" t="s">
        <v>70</v>
      </c>
      <c r="C6" s="353">
        <v>44741</v>
      </c>
      <c r="D6" s="354">
        <v>30000</v>
      </c>
      <c r="E6" s="242" t="s">
        <v>32</v>
      </c>
      <c r="F6" s="354">
        <v>30000</v>
      </c>
      <c r="G6" s="354">
        <v>30000</v>
      </c>
      <c r="H6" s="354">
        <v>16055</v>
      </c>
      <c r="I6" s="355">
        <v>0</v>
      </c>
      <c r="J6" s="356">
        <v>0</v>
      </c>
      <c r="K6" s="357">
        <v>2.0099999999999998</v>
      </c>
      <c r="L6" s="357">
        <v>2.0099999999999998</v>
      </c>
      <c r="M6" s="354" t="e">
        <v>#DIV/0!</v>
      </c>
      <c r="N6" s="354">
        <v>14925.37313432836</v>
      </c>
      <c r="O6" s="358">
        <v>0.34263941997998987</v>
      </c>
      <c r="P6" s="51" t="s">
        <v>34</v>
      </c>
      <c r="Q6" s="242"/>
      <c r="R6" s="340"/>
      <c r="S6" s="340"/>
      <c r="T6" s="340"/>
      <c r="U6" s="80"/>
      <c r="V6" s="80"/>
      <c r="W6" s="81"/>
      <c r="X6" s="81"/>
      <c r="Y6" s="82"/>
      <c r="Z6" s="340"/>
      <c r="AA6" s="340"/>
      <c r="AB6" s="340"/>
      <c r="AC6" s="340"/>
      <c r="AD6" s="340"/>
      <c r="AE6" s="340"/>
      <c r="AF6" s="340"/>
      <c r="AG6" s="340"/>
      <c r="AH6" s="340"/>
      <c r="AI6" s="340"/>
      <c r="AJ6" s="340"/>
      <c r="AK6" s="340"/>
      <c r="AL6" s="340"/>
      <c r="AM6" s="340"/>
      <c r="AN6" s="340"/>
      <c r="AO6" s="340"/>
      <c r="AP6" s="340"/>
      <c r="AQ6" s="340"/>
      <c r="AR6" s="340"/>
      <c r="AS6" s="340"/>
      <c r="AT6" s="340"/>
      <c r="AU6" s="340"/>
      <c r="AV6" s="340"/>
    </row>
    <row r="7" spans="1:48" x14ac:dyDescent="0.25">
      <c r="A7" s="352" t="s">
        <v>79</v>
      </c>
      <c r="B7" s="352" t="s">
        <v>80</v>
      </c>
      <c r="C7" s="353">
        <v>44949</v>
      </c>
      <c r="D7" s="354">
        <v>279000</v>
      </c>
      <c r="E7" s="242" t="s">
        <v>32</v>
      </c>
      <c r="F7" s="354">
        <v>279000</v>
      </c>
      <c r="G7" s="354">
        <v>279000</v>
      </c>
      <c r="H7" s="354">
        <v>141180</v>
      </c>
      <c r="I7" s="355">
        <v>0</v>
      </c>
      <c r="J7" s="356">
        <v>0</v>
      </c>
      <c r="K7" s="357">
        <v>45.59</v>
      </c>
      <c r="L7" s="357">
        <v>45.59</v>
      </c>
      <c r="M7" s="354" t="e">
        <v>#DIV/0!</v>
      </c>
      <c r="N7" s="354">
        <v>6119.7631059442856</v>
      </c>
      <c r="O7" s="358">
        <v>0.1404904294293913</v>
      </c>
      <c r="P7" s="51" t="s">
        <v>34</v>
      </c>
      <c r="Q7" s="242"/>
      <c r="U7" s="93">
        <v>1</v>
      </c>
      <c r="V7" s="94">
        <f t="shared" ref="V7:V20" si="0">W7/U7</f>
        <v>10000</v>
      </c>
      <c r="W7" s="95">
        <v>10000</v>
      </c>
      <c r="X7" s="96">
        <v>10000</v>
      </c>
      <c r="Y7" s="97">
        <f>U7*X7</f>
        <v>10000</v>
      </c>
    </row>
    <row r="8" spans="1:48" ht="30" x14ac:dyDescent="0.25">
      <c r="A8" s="352" t="s">
        <v>88</v>
      </c>
      <c r="B8" s="352" t="s">
        <v>89</v>
      </c>
      <c r="C8" s="353">
        <v>45383</v>
      </c>
      <c r="D8" s="354">
        <v>172500</v>
      </c>
      <c r="E8" s="242" t="s">
        <v>32</v>
      </c>
      <c r="F8" s="354">
        <v>172500</v>
      </c>
      <c r="G8" s="354">
        <v>172500</v>
      </c>
      <c r="H8" s="354">
        <v>83945</v>
      </c>
      <c r="I8" s="355">
        <v>0</v>
      </c>
      <c r="J8" s="356">
        <v>0</v>
      </c>
      <c r="K8" s="357">
        <v>28.72</v>
      </c>
      <c r="L8" s="357">
        <v>8.6999999999999993</v>
      </c>
      <c r="M8" s="354" t="e">
        <v>#DIV/0!</v>
      </c>
      <c r="N8" s="354">
        <v>6006.2674094707527</v>
      </c>
      <c r="O8" s="358">
        <v>0.13788492675552691</v>
      </c>
      <c r="P8" s="51" t="s">
        <v>34</v>
      </c>
      <c r="Q8" s="242" t="s">
        <v>91</v>
      </c>
      <c r="U8" s="93">
        <v>1.5</v>
      </c>
      <c r="V8" s="94">
        <f t="shared" si="0"/>
        <v>9000</v>
      </c>
      <c r="W8" s="95">
        <v>13500</v>
      </c>
      <c r="X8" s="96">
        <v>9000</v>
      </c>
      <c r="Y8" s="97">
        <f t="shared" ref="Y8:Y20" si="1">U8*X8</f>
        <v>13500</v>
      </c>
    </row>
    <row r="9" spans="1:48" ht="30" x14ac:dyDescent="0.25">
      <c r="A9" s="352" t="s">
        <v>92</v>
      </c>
      <c r="B9" s="352" t="s">
        <v>93</v>
      </c>
      <c r="C9" s="353">
        <v>45383</v>
      </c>
      <c r="D9" s="354">
        <v>172500</v>
      </c>
      <c r="E9" s="242" t="s">
        <v>32</v>
      </c>
      <c r="F9" s="354">
        <v>172500</v>
      </c>
      <c r="G9" s="354">
        <v>172500</v>
      </c>
      <c r="H9" s="354">
        <v>83945</v>
      </c>
      <c r="I9" s="355">
        <v>0</v>
      </c>
      <c r="J9" s="356">
        <v>0</v>
      </c>
      <c r="K9" s="357">
        <v>28.72</v>
      </c>
      <c r="L9" s="357">
        <v>10.01</v>
      </c>
      <c r="M9" s="354" t="e">
        <v>#DIV/0!</v>
      </c>
      <c r="N9" s="354">
        <v>6006.2674094707527</v>
      </c>
      <c r="O9" s="358">
        <v>0.13788492675552691</v>
      </c>
      <c r="P9" s="51" t="s">
        <v>34</v>
      </c>
      <c r="Q9" s="242" t="s">
        <v>94</v>
      </c>
      <c r="U9" s="93">
        <v>2</v>
      </c>
      <c r="V9" s="94">
        <f t="shared" si="0"/>
        <v>8500</v>
      </c>
      <c r="W9" s="95">
        <v>17000</v>
      </c>
      <c r="X9" s="96">
        <v>8500</v>
      </c>
      <c r="Y9" s="97">
        <f t="shared" si="1"/>
        <v>17000</v>
      </c>
    </row>
    <row r="10" spans="1:48" ht="30" x14ac:dyDescent="0.25">
      <c r="A10" s="352" t="s">
        <v>95</v>
      </c>
      <c r="B10" s="352" t="s">
        <v>96</v>
      </c>
      <c r="C10" s="353">
        <v>45383</v>
      </c>
      <c r="D10" s="354">
        <v>172500</v>
      </c>
      <c r="E10" s="242" t="s">
        <v>32</v>
      </c>
      <c r="F10" s="354">
        <v>172500</v>
      </c>
      <c r="G10" s="354">
        <v>172500</v>
      </c>
      <c r="H10" s="354">
        <v>83945</v>
      </c>
      <c r="I10" s="355">
        <v>0</v>
      </c>
      <c r="J10" s="356">
        <v>0</v>
      </c>
      <c r="K10" s="357">
        <v>28.72</v>
      </c>
      <c r="L10" s="357">
        <v>10.01</v>
      </c>
      <c r="M10" s="354" t="e">
        <v>#DIV/0!</v>
      </c>
      <c r="N10" s="354">
        <v>6006.2674094707527</v>
      </c>
      <c r="O10" s="358">
        <v>0.13788492675552691</v>
      </c>
      <c r="P10" s="51" t="s">
        <v>34</v>
      </c>
      <c r="Q10" s="242" t="s">
        <v>97</v>
      </c>
      <c r="U10" s="93">
        <v>2.5</v>
      </c>
      <c r="V10" s="94">
        <f t="shared" si="0"/>
        <v>8000</v>
      </c>
      <c r="W10" s="95">
        <v>20000</v>
      </c>
      <c r="X10" s="96">
        <v>8000</v>
      </c>
      <c r="Y10" s="97">
        <f t="shared" si="1"/>
        <v>20000</v>
      </c>
    </row>
    <row r="11" spans="1:48" x14ac:dyDescent="0.25">
      <c r="A11" s="352" t="s">
        <v>155</v>
      </c>
      <c r="B11" s="352" t="s">
        <v>156</v>
      </c>
      <c r="C11" s="353">
        <v>44998</v>
      </c>
      <c r="D11" s="354">
        <v>1802</v>
      </c>
      <c r="E11" s="242" t="s">
        <v>114</v>
      </c>
      <c r="F11" s="354">
        <v>1802</v>
      </c>
      <c r="G11" s="354">
        <v>1802</v>
      </c>
      <c r="H11" s="354">
        <v>6750</v>
      </c>
      <c r="I11" s="355">
        <v>0</v>
      </c>
      <c r="J11" s="356">
        <v>0</v>
      </c>
      <c r="K11" s="357">
        <v>0.5</v>
      </c>
      <c r="L11" s="357">
        <v>0.5</v>
      </c>
      <c r="M11" s="354" t="e">
        <v>#DIV/0!</v>
      </c>
      <c r="N11" s="354">
        <v>3604</v>
      </c>
      <c r="O11" s="358">
        <v>8.2736455463728195E-2</v>
      </c>
      <c r="P11" s="51" t="s">
        <v>34</v>
      </c>
      <c r="Q11" s="242"/>
      <c r="U11" s="93"/>
      <c r="V11" s="94"/>
      <c r="W11" s="95"/>
      <c r="X11" s="96"/>
      <c r="Y11" s="97"/>
    </row>
    <row r="12" spans="1:48" x14ac:dyDescent="0.25">
      <c r="A12" s="352" t="s">
        <v>174</v>
      </c>
      <c r="B12" s="352" t="s">
        <v>162</v>
      </c>
      <c r="C12" s="353">
        <v>45014</v>
      </c>
      <c r="D12" s="354">
        <v>26000</v>
      </c>
      <c r="E12" s="242" t="s">
        <v>32</v>
      </c>
      <c r="F12" s="354">
        <v>26000</v>
      </c>
      <c r="G12" s="354">
        <v>26000</v>
      </c>
      <c r="H12" s="354">
        <v>26015</v>
      </c>
      <c r="I12" s="355">
        <v>0</v>
      </c>
      <c r="J12" s="356">
        <v>0</v>
      </c>
      <c r="K12" s="357">
        <v>4.01</v>
      </c>
      <c r="L12" s="357">
        <v>4.01</v>
      </c>
      <c r="M12" s="354" t="e">
        <v>#DIV/0!</v>
      </c>
      <c r="N12" s="354">
        <v>6483.7905236907736</v>
      </c>
      <c r="O12" s="358">
        <v>0.1488473490287138</v>
      </c>
      <c r="P12" s="51" t="s">
        <v>34</v>
      </c>
      <c r="Q12" s="242"/>
      <c r="U12" s="93"/>
      <c r="V12" s="94"/>
      <c r="W12" s="95"/>
      <c r="X12" s="96"/>
      <c r="Y12" s="97"/>
    </row>
    <row r="13" spans="1:48" x14ac:dyDescent="0.25">
      <c r="A13" s="352" t="s">
        <v>176</v>
      </c>
      <c r="B13" s="352" t="s">
        <v>162</v>
      </c>
      <c r="C13" s="353">
        <v>44812</v>
      </c>
      <c r="D13" s="354">
        <v>26000</v>
      </c>
      <c r="E13" s="242" t="s">
        <v>32</v>
      </c>
      <c r="F13" s="354">
        <v>26000</v>
      </c>
      <c r="G13" s="354">
        <v>26000</v>
      </c>
      <c r="H13" s="354">
        <v>26015</v>
      </c>
      <c r="I13" s="355">
        <v>0</v>
      </c>
      <c r="J13" s="356">
        <v>0</v>
      </c>
      <c r="K13" s="357">
        <v>4.01</v>
      </c>
      <c r="L13" s="357">
        <v>4.01</v>
      </c>
      <c r="M13" s="354" t="e">
        <v>#DIV/0!</v>
      </c>
      <c r="N13" s="354">
        <v>6483.7905236907736</v>
      </c>
      <c r="O13" s="358">
        <v>0.1488473490287138</v>
      </c>
      <c r="P13" s="51" t="s">
        <v>34</v>
      </c>
      <c r="Q13" s="242"/>
      <c r="U13" s="93"/>
      <c r="V13" s="94"/>
      <c r="W13" s="95"/>
      <c r="X13" s="96"/>
      <c r="Y13" s="97"/>
    </row>
    <row r="14" spans="1:48" x14ac:dyDescent="0.25">
      <c r="A14" s="352" t="s">
        <v>190</v>
      </c>
      <c r="B14" s="352" t="s">
        <v>31</v>
      </c>
      <c r="C14" s="353">
        <v>45294</v>
      </c>
      <c r="D14" s="354">
        <v>200000</v>
      </c>
      <c r="E14" s="242" t="s">
        <v>32</v>
      </c>
      <c r="F14" s="354">
        <v>200000</v>
      </c>
      <c r="G14" s="354">
        <v>200000</v>
      </c>
      <c r="H14" s="354">
        <v>130000</v>
      </c>
      <c r="I14" s="355">
        <v>0</v>
      </c>
      <c r="J14" s="356">
        <v>0</v>
      </c>
      <c r="K14" s="357">
        <v>40</v>
      </c>
      <c r="L14" s="357">
        <v>40</v>
      </c>
      <c r="M14" s="354" t="e">
        <v>#DIV/0!</v>
      </c>
      <c r="N14" s="354">
        <v>5000</v>
      </c>
      <c r="O14" s="358">
        <v>0.1147842056932966</v>
      </c>
      <c r="P14" s="51" t="s">
        <v>34</v>
      </c>
      <c r="Q14" s="242"/>
      <c r="U14" s="93"/>
      <c r="V14" s="94"/>
      <c r="W14" s="95"/>
      <c r="X14" s="96"/>
      <c r="Y14" s="97"/>
    </row>
    <row r="15" spans="1:48" x14ac:dyDescent="0.25">
      <c r="A15" s="352" t="s">
        <v>201</v>
      </c>
      <c r="B15" s="352" t="s">
        <v>202</v>
      </c>
      <c r="C15" s="353">
        <v>45071</v>
      </c>
      <c r="D15" s="354">
        <v>5000</v>
      </c>
      <c r="E15" s="242" t="s">
        <v>32</v>
      </c>
      <c r="F15" s="354">
        <v>5000</v>
      </c>
      <c r="G15" s="354">
        <v>5000</v>
      </c>
      <c r="H15" s="354">
        <v>5310</v>
      </c>
      <c r="I15" s="355">
        <v>0</v>
      </c>
      <c r="J15" s="356">
        <v>0</v>
      </c>
      <c r="K15" s="357">
        <v>0.59</v>
      </c>
      <c r="L15" s="357">
        <v>0.59</v>
      </c>
      <c r="M15" s="354" t="e">
        <v>#DIV/0!</v>
      </c>
      <c r="N15" s="354">
        <v>8474.5762711864409</v>
      </c>
      <c r="O15" s="358">
        <v>0.19454950117507899</v>
      </c>
      <c r="P15" s="51" t="s">
        <v>34</v>
      </c>
      <c r="Q15" s="242"/>
      <c r="U15" s="93"/>
      <c r="V15" s="94"/>
      <c r="W15" s="95"/>
      <c r="X15" s="96"/>
      <c r="Y15" s="97"/>
    </row>
    <row r="16" spans="1:48" x14ac:dyDescent="0.25">
      <c r="A16" s="352" t="s">
        <v>209</v>
      </c>
      <c r="B16" s="352" t="s">
        <v>210</v>
      </c>
      <c r="C16" s="353">
        <v>44718</v>
      </c>
      <c r="D16" s="354">
        <v>31000</v>
      </c>
      <c r="E16" s="242" t="s">
        <v>32</v>
      </c>
      <c r="F16" s="354">
        <v>31000</v>
      </c>
      <c r="G16" s="354">
        <v>31000</v>
      </c>
      <c r="H16" s="354">
        <v>27816</v>
      </c>
      <c r="I16" s="355">
        <v>0</v>
      </c>
      <c r="J16" s="356">
        <v>0</v>
      </c>
      <c r="K16" s="357">
        <v>5.1100000000000003</v>
      </c>
      <c r="L16" s="357">
        <v>5.1100000000000003</v>
      </c>
      <c r="M16" s="354" t="e">
        <v>#DIV/0!</v>
      </c>
      <c r="N16" s="354">
        <v>6066.5362035225044</v>
      </c>
      <c r="O16" s="358">
        <v>0.13926850788619155</v>
      </c>
      <c r="P16" s="51" t="s">
        <v>34</v>
      </c>
      <c r="Q16" s="242"/>
      <c r="U16" s="93"/>
      <c r="V16" s="94"/>
      <c r="W16" s="95"/>
      <c r="X16" s="96"/>
      <c r="Y16" s="97"/>
    </row>
    <row r="17" spans="1:25" x14ac:dyDescent="0.25">
      <c r="A17" s="352" t="s">
        <v>220</v>
      </c>
      <c r="B17" s="352" t="s">
        <v>221</v>
      </c>
      <c r="C17" s="353">
        <v>44984</v>
      </c>
      <c r="D17" s="354">
        <v>1000</v>
      </c>
      <c r="E17" s="242" t="s">
        <v>114</v>
      </c>
      <c r="F17" s="354">
        <v>1000</v>
      </c>
      <c r="G17" s="354">
        <v>1000</v>
      </c>
      <c r="H17" s="354">
        <v>2700</v>
      </c>
      <c r="I17" s="355">
        <v>0</v>
      </c>
      <c r="J17" s="356">
        <v>0</v>
      </c>
      <c r="K17" s="357">
        <v>0.15</v>
      </c>
      <c r="L17" s="357">
        <v>0.15</v>
      </c>
      <c r="M17" s="354" t="e">
        <v>#DIV/0!</v>
      </c>
      <c r="N17" s="354">
        <v>6666.666666666667</v>
      </c>
      <c r="O17" s="358">
        <v>0.15304560759106214</v>
      </c>
      <c r="P17" s="51" t="s">
        <v>34</v>
      </c>
      <c r="Q17" s="242"/>
      <c r="U17" s="93"/>
      <c r="V17" s="94"/>
      <c r="W17" s="95"/>
      <c r="X17" s="96"/>
      <c r="Y17" s="97"/>
    </row>
    <row r="18" spans="1:25" x14ac:dyDescent="0.25">
      <c r="A18" s="352"/>
      <c r="B18" s="352"/>
      <c r="C18" s="353" t="s">
        <v>229</v>
      </c>
      <c r="D18" s="354">
        <v>1812302</v>
      </c>
      <c r="E18" s="242"/>
      <c r="F18" s="354">
        <v>1812302</v>
      </c>
      <c r="G18" s="354">
        <v>1812302</v>
      </c>
      <c r="H18" s="354">
        <v>1317804</v>
      </c>
      <c r="I18" s="355">
        <v>0</v>
      </c>
      <c r="J18" s="356"/>
      <c r="K18" s="357">
        <v>346.89999999999992</v>
      </c>
      <c r="L18" s="357">
        <v>217.45999999999998</v>
      </c>
      <c r="M18" s="354"/>
      <c r="N18" s="354"/>
      <c r="O18" s="358"/>
      <c r="P18" s="51"/>
      <c r="Q18" s="242"/>
      <c r="U18" s="93"/>
      <c r="V18" s="94"/>
      <c r="W18" s="95"/>
      <c r="X18" s="96"/>
      <c r="Y18" s="97"/>
    </row>
    <row r="19" spans="1:25" x14ac:dyDescent="0.25">
      <c r="A19" s="360"/>
      <c r="B19" s="361"/>
      <c r="C19" s="362"/>
      <c r="D19" s="363"/>
      <c r="E19" s="364"/>
      <c r="F19" s="363"/>
      <c r="G19" s="363"/>
      <c r="H19" s="363" t="s">
        <v>231</v>
      </c>
      <c r="I19" s="365"/>
      <c r="J19" s="366"/>
      <c r="K19" s="367" t="s">
        <v>231</v>
      </c>
      <c r="L19" s="367"/>
      <c r="M19" s="363"/>
      <c r="N19" s="363" t="s">
        <v>231</v>
      </c>
      <c r="O19" s="368"/>
      <c r="P19" s="369"/>
      <c r="Q19" s="370"/>
      <c r="U19" s="93"/>
      <c r="V19" s="94"/>
      <c r="W19" s="95"/>
      <c r="X19" s="96"/>
      <c r="Y19" s="97"/>
    </row>
    <row r="20" spans="1:25" x14ac:dyDescent="0.25">
      <c r="A20" s="371"/>
      <c r="B20" s="372"/>
      <c r="C20" s="373"/>
      <c r="D20" s="374"/>
      <c r="E20" s="375"/>
      <c r="F20" s="374"/>
      <c r="G20" s="374"/>
      <c r="H20" s="374" t="s">
        <v>233</v>
      </c>
      <c r="I20" s="376" t="e">
        <v>#DIV/0!</v>
      </c>
      <c r="J20" s="377"/>
      <c r="K20" s="378" t="s">
        <v>234</v>
      </c>
      <c r="L20" s="378">
        <v>5224.2778898818115</v>
      </c>
      <c r="M20" s="374"/>
      <c r="N20" s="374" t="s">
        <v>235</v>
      </c>
      <c r="O20" s="379">
        <v>0.11993291758222707</v>
      </c>
      <c r="P20" s="380"/>
      <c r="Q20" s="381"/>
      <c r="U20" s="93">
        <v>3</v>
      </c>
      <c r="V20" s="94">
        <f t="shared" si="0"/>
        <v>7500</v>
      </c>
      <c r="W20" s="95">
        <v>22500</v>
      </c>
      <c r="X20" s="96">
        <v>7500</v>
      </c>
      <c r="Y20" s="97">
        <f t="shared" si="1"/>
        <v>22500</v>
      </c>
    </row>
    <row r="21" spans="1:25" ht="16.5" customHeight="1" x14ac:dyDescent="0.25">
      <c r="A21" s="391" t="s">
        <v>366</v>
      </c>
      <c r="B21" s="383"/>
      <c r="C21" s="384"/>
      <c r="D21" s="385"/>
      <c r="E21" s="386"/>
      <c r="F21" s="385"/>
      <c r="G21" s="385"/>
      <c r="H21" s="385"/>
      <c r="I21" s="387"/>
      <c r="J21" s="388"/>
      <c r="K21" s="389"/>
      <c r="L21" s="389"/>
      <c r="M21" s="385"/>
      <c r="N21" s="385"/>
      <c r="O21" s="390"/>
      <c r="P21" s="382"/>
      <c r="Q21" s="386"/>
      <c r="U21" s="93"/>
      <c r="V21" s="94"/>
      <c r="W21" s="95"/>
      <c r="X21" s="95"/>
      <c r="Y21" s="359"/>
    </row>
    <row r="22" spans="1:25" x14ac:dyDescent="0.25">
      <c r="G22" s="216"/>
      <c r="H22" s="217"/>
      <c r="I22" s="218"/>
      <c r="J22" s="218"/>
      <c r="K22" s="215"/>
      <c r="L22" s="215"/>
      <c r="M22" s="219"/>
      <c r="N22" s="218"/>
      <c r="O22" s="341"/>
      <c r="P22"/>
      <c r="Q22"/>
    </row>
    <row r="23" spans="1:25" x14ac:dyDescent="0.25">
      <c r="A23" s="224" t="s">
        <v>248</v>
      </c>
      <c r="B23" s="342" t="s">
        <v>352</v>
      </c>
      <c r="C23"/>
      <c r="D23" s="4"/>
      <c r="G23" s="393" t="s">
        <v>353</v>
      </c>
      <c r="H23" s="393"/>
      <c r="I23" s="393"/>
      <c r="J23" s="343">
        <v>1</v>
      </c>
      <c r="K23" s="344">
        <f>Y7</f>
        <v>10000</v>
      </c>
      <c r="L23" s="343">
        <v>3</v>
      </c>
      <c r="M23" s="344">
        <f>Y20</f>
        <v>22500</v>
      </c>
      <c r="N23" s="343">
        <v>10</v>
      </c>
      <c r="O23" s="344" t="e">
        <f>#REF!</f>
        <v>#REF!</v>
      </c>
      <c r="P23" s="343">
        <v>30</v>
      </c>
      <c r="Q23" s="344" t="e">
        <f>#REF!</f>
        <v>#REF!</v>
      </c>
    </row>
    <row r="24" spans="1:25" x14ac:dyDescent="0.25">
      <c r="A24" s="345" t="s">
        <v>354</v>
      </c>
      <c r="B24" s="346">
        <v>0</v>
      </c>
      <c r="C24"/>
      <c r="D24" s="4"/>
      <c r="F24" s="4"/>
      <c r="G24" s="347"/>
      <c r="H24" s="348"/>
      <c r="J24" s="349">
        <v>1.5</v>
      </c>
      <c r="K24" s="55">
        <f>Y8</f>
        <v>13500</v>
      </c>
      <c r="L24" s="349">
        <v>4</v>
      </c>
      <c r="M24" s="55" t="e">
        <f>#REF!</f>
        <v>#REF!</v>
      </c>
      <c r="N24" s="349">
        <v>15</v>
      </c>
      <c r="O24" s="55" t="e">
        <f>#REF!</f>
        <v>#REF!</v>
      </c>
      <c r="P24" s="349">
        <v>40</v>
      </c>
      <c r="Q24" s="55" t="e">
        <f>#REF!</f>
        <v>#REF!</v>
      </c>
    </row>
    <row r="25" spans="1:25" x14ac:dyDescent="0.25">
      <c r="A25" s="214" t="s">
        <v>355</v>
      </c>
      <c r="B25" s="350">
        <v>0</v>
      </c>
      <c r="C25"/>
      <c r="D25" s="62"/>
      <c r="F25" s="4"/>
      <c r="G25" s="347"/>
      <c r="H25" s="348"/>
      <c r="J25" s="343">
        <v>2</v>
      </c>
      <c r="K25" s="344">
        <f>Y9</f>
        <v>17000</v>
      </c>
      <c r="L25" s="343">
        <v>5</v>
      </c>
      <c r="M25" s="344" t="e">
        <f>#REF!</f>
        <v>#REF!</v>
      </c>
      <c r="N25" s="343">
        <v>20</v>
      </c>
      <c r="O25" s="344" t="e">
        <f>#REF!</f>
        <v>#REF!</v>
      </c>
      <c r="P25" s="343">
        <v>50</v>
      </c>
      <c r="Q25" s="344" t="e">
        <f>#REF!</f>
        <v>#REF!</v>
      </c>
    </row>
    <row r="26" spans="1:25" x14ac:dyDescent="0.25">
      <c r="A26" s="345" t="s">
        <v>356</v>
      </c>
      <c r="B26" s="346">
        <v>5200</v>
      </c>
      <c r="C26"/>
      <c r="D26" s="4"/>
      <c r="F26" s="4"/>
      <c r="G26" s="56"/>
      <c r="H26" s="56"/>
      <c r="J26" s="54">
        <v>2.5</v>
      </c>
      <c r="K26" s="55">
        <f>Y10</f>
        <v>20000</v>
      </c>
      <c r="L26" s="54">
        <v>7</v>
      </c>
      <c r="M26" s="55" t="e">
        <f>#REF!</f>
        <v>#REF!</v>
      </c>
      <c r="N26" s="54">
        <v>25</v>
      </c>
      <c r="O26" s="55" t="e">
        <f>#REF!</f>
        <v>#REF!</v>
      </c>
      <c r="P26" s="54">
        <v>100</v>
      </c>
      <c r="Q26" s="55" t="e">
        <f>#REF!</f>
        <v>#REF!</v>
      </c>
    </row>
    <row r="27" spans="1:25" x14ac:dyDescent="0.25">
      <c r="A27" s="214" t="s">
        <v>357</v>
      </c>
      <c r="B27" s="350">
        <v>4300</v>
      </c>
      <c r="C27"/>
      <c r="D27" s="4"/>
      <c r="F27" s="4"/>
      <c r="G27" s="4"/>
      <c r="H27" s="4"/>
      <c r="I27" s="4"/>
      <c r="J27" s="4"/>
      <c r="K27" s="4"/>
      <c r="L27" s="4"/>
      <c r="M27" s="4"/>
      <c r="N27" s="4"/>
      <c r="O27"/>
      <c r="P27"/>
      <c r="Q27"/>
    </row>
    <row r="28" spans="1:25" x14ac:dyDescent="0.25">
      <c r="A28" s="345" t="s">
        <v>358</v>
      </c>
      <c r="B28" s="346">
        <v>4000</v>
      </c>
      <c r="F28" s="216"/>
      <c r="G28" s="217"/>
      <c r="H28" s="218"/>
      <c r="I28" s="218"/>
      <c r="J28" s="215"/>
      <c r="K28" s="215"/>
      <c r="L28" s="219"/>
      <c r="M28" s="218"/>
      <c r="N28" s="4"/>
      <c r="O28"/>
      <c r="P28"/>
      <c r="Q28"/>
    </row>
    <row r="29" spans="1:25" x14ac:dyDescent="0.25">
      <c r="A29" s="214" t="s">
        <v>359</v>
      </c>
      <c r="B29" s="350">
        <v>3500</v>
      </c>
      <c r="G29" s="216"/>
      <c r="H29" s="217"/>
      <c r="I29" s="218"/>
      <c r="J29" s="218"/>
      <c r="K29" s="215"/>
      <c r="L29" s="215"/>
      <c r="M29" s="219"/>
      <c r="N29" s="218"/>
      <c r="O29" s="341"/>
      <c r="P29"/>
      <c r="Q29"/>
    </row>
    <row r="30" spans="1:25" x14ac:dyDescent="0.25">
      <c r="A30" s="345" t="s">
        <v>360</v>
      </c>
      <c r="B30" s="346">
        <v>3500</v>
      </c>
      <c r="G30" s="216"/>
      <c r="H30" s="217"/>
      <c r="I30" s="218"/>
      <c r="J30" s="218"/>
      <c r="K30" s="215"/>
      <c r="L30" s="215"/>
      <c r="M30" s="219"/>
      <c r="N30" s="218"/>
      <c r="O30" s="341"/>
      <c r="P30"/>
      <c r="Q30"/>
    </row>
    <row r="31" spans="1:25" x14ac:dyDescent="0.25">
      <c r="A31" s="214" t="s">
        <v>361</v>
      </c>
      <c r="B31" s="350">
        <v>0</v>
      </c>
      <c r="G31" s="216"/>
      <c r="H31" s="217"/>
      <c r="I31" s="218"/>
      <c r="J31" s="218"/>
      <c r="K31" s="215"/>
      <c r="L31" s="215"/>
      <c r="M31" s="219"/>
      <c r="N31" s="218"/>
      <c r="O31" s="341"/>
      <c r="P31"/>
      <c r="Q31"/>
    </row>
    <row r="32" spans="1:25" x14ac:dyDescent="0.25">
      <c r="A32" s="345" t="s">
        <v>362</v>
      </c>
      <c r="B32" s="346">
        <v>2500</v>
      </c>
      <c r="G32" s="216"/>
      <c r="H32" s="217"/>
      <c r="I32" s="218"/>
      <c r="J32" s="218"/>
      <c r="K32" s="215"/>
      <c r="L32" s="215"/>
      <c r="M32" s="219"/>
      <c r="N32" s="218"/>
      <c r="O32" s="341"/>
      <c r="P32"/>
      <c r="Q32"/>
    </row>
    <row r="33" spans="1:26" x14ac:dyDescent="0.25">
      <c r="A33" s="214" t="s">
        <v>363</v>
      </c>
      <c r="B33" s="350">
        <v>40000</v>
      </c>
      <c r="G33" s="216"/>
      <c r="H33" s="217"/>
      <c r="I33" s="218"/>
      <c r="J33" s="218"/>
      <c r="K33" s="215"/>
      <c r="L33" s="215"/>
      <c r="M33" s="219"/>
      <c r="N33" s="218"/>
      <c r="O33" s="341"/>
      <c r="P33"/>
      <c r="Q33"/>
    </row>
    <row r="34" spans="1:26" x14ac:dyDescent="0.25">
      <c r="A34" s="345" t="s">
        <v>364</v>
      </c>
      <c r="B34" s="346">
        <v>5000</v>
      </c>
      <c r="G34" s="216"/>
      <c r="H34" s="217"/>
      <c r="I34" s="218"/>
      <c r="J34" s="218"/>
      <c r="K34" s="215"/>
      <c r="L34" s="215"/>
      <c r="M34" s="219"/>
      <c r="N34" s="218"/>
      <c r="O34" s="341"/>
      <c r="P34"/>
      <c r="Q34"/>
    </row>
    <row r="35" spans="1:26" x14ac:dyDescent="0.25">
      <c r="A35" s="214" t="s">
        <v>365</v>
      </c>
      <c r="B35" s="350">
        <v>8000</v>
      </c>
      <c r="G35" s="216"/>
      <c r="H35" s="217"/>
      <c r="I35" s="218"/>
      <c r="J35" s="218"/>
      <c r="K35" s="215"/>
      <c r="L35" s="215"/>
      <c r="M35" s="219"/>
      <c r="N35" s="218"/>
      <c r="O35" s="341"/>
      <c r="P35"/>
      <c r="Q35"/>
      <c r="V35" s="133"/>
      <c r="W35" s="133"/>
      <c r="X35" s="133"/>
      <c r="Y35" s="133"/>
      <c r="Z35" s="133"/>
    </row>
    <row r="41" spans="1:26" x14ac:dyDescent="0.25">
      <c r="G41" s="351"/>
    </row>
  </sheetData>
  <mergeCells count="1">
    <mergeCell ref="G23:I23"/>
  </mergeCells>
  <phoneticPr fontId="20" type="noConversion"/>
  <pageMargins left="0.25" right="0.25" top="0.75" bottom="0.75" header="0.3" footer="0.3"/>
  <pageSetup scale="64" orientation="landscape" r:id="rId1"/>
  <headerFooter>
    <oddHeader>&amp;L&amp;"Baskerville Old Face,Bold"&amp;20Ag Land&amp;C&amp;"Baskerville Old Face,Bold"&amp;20 2025 Land Value Analysis and Determination</oddHeader>
    <oddFooter>&amp;L&amp;"Baskerville Old Face,Regular"&amp;16&amp;A&amp;C&amp;"Baguet Script,Bold"&amp;20Mid-Michigan Assessing Services, LLC</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4C82-19D2-42B1-9B23-E3945162170C}">
  <dimension ref="A1:AX53"/>
  <sheetViews>
    <sheetView view="pageLayout" zoomScaleNormal="100" workbookViewId="0">
      <selection activeCell="K1" sqref="K1"/>
    </sheetView>
  </sheetViews>
  <sheetFormatPr defaultRowHeight="15" x14ac:dyDescent="0.25"/>
  <cols>
    <col min="1" max="1" width="19.140625" bestFit="1" customWidth="1"/>
    <col min="2" max="2" width="19.42578125" customWidth="1"/>
    <col min="3" max="3" width="13.7109375" style="25" bestFit="1" customWidth="1"/>
    <col min="4" max="4" width="11.85546875" style="15" bestFit="1" customWidth="1"/>
    <col min="5" max="5" width="7.42578125" customWidth="1"/>
    <col min="6" max="6" width="16.42578125" hidden="1" customWidth="1"/>
    <col min="7" max="7" width="13.7109375" style="15" bestFit="1" customWidth="1"/>
    <col min="8" max="8" width="14.7109375" style="15" bestFit="1" customWidth="1"/>
    <col min="9" max="9" width="12.7109375" style="20" bestFit="1" customWidth="1"/>
    <col min="10" max="11" width="13.7109375" style="15" bestFit="1" customWidth="1"/>
    <col min="12" max="12" width="14.7109375" style="15" bestFit="1" customWidth="1"/>
    <col min="13" max="13" width="12.42578125" style="30" customWidth="1"/>
    <col min="14" max="14" width="12.42578125" style="34" customWidth="1"/>
    <col min="15" max="15" width="14.28515625" style="39" bestFit="1" customWidth="1"/>
    <col min="16" max="16" width="10.85546875" style="39" bestFit="1" customWidth="1"/>
    <col min="17" max="17" width="10.140625" style="15" bestFit="1" customWidth="1"/>
    <col min="18" max="18" width="12.140625" style="15" bestFit="1" customWidth="1"/>
    <col min="19" max="19" width="12.140625" style="44" hidden="1" customWidth="1"/>
    <col min="20" max="20" width="11.7109375" style="39" hidden="1" customWidth="1"/>
    <col min="21" max="21" width="9" style="4" hidden="1" customWidth="1"/>
    <col min="22" max="22" width="10.5703125" hidden="1" customWidth="1"/>
    <col min="23" max="23" width="22.42578125" customWidth="1"/>
    <col min="24" max="24" width="27.7109375" hidden="1" customWidth="1"/>
    <col min="25" max="25" width="6.85546875" hidden="1" customWidth="1"/>
    <col min="26" max="26" width="6.42578125" hidden="1" customWidth="1"/>
    <col min="27" max="27" width="15" hidden="1" customWidth="1"/>
    <col min="28" max="28" width="9.7109375" hidden="1" customWidth="1"/>
    <col min="29" max="29" width="6" hidden="1" customWidth="1"/>
    <col min="30" max="30" width="19" customWidth="1"/>
  </cols>
  <sheetData>
    <row r="1" spans="1:50" x14ac:dyDescent="0.25">
      <c r="A1" s="64" t="s">
        <v>245</v>
      </c>
    </row>
    <row r="2" spans="1:50" x14ac:dyDescent="0.25">
      <c r="A2" s="1" t="s">
        <v>0</v>
      </c>
      <c r="B2" s="1" t="s">
        <v>1</v>
      </c>
      <c r="C2" s="24" t="s">
        <v>2</v>
      </c>
      <c r="D2" s="14" t="s">
        <v>3</v>
      </c>
      <c r="E2" s="1" t="s">
        <v>4</v>
      </c>
      <c r="F2" s="1" t="s">
        <v>5</v>
      </c>
      <c r="G2" s="14" t="s">
        <v>6</v>
      </c>
      <c r="H2" s="14" t="s">
        <v>7</v>
      </c>
      <c r="I2" s="19" t="s">
        <v>8</v>
      </c>
      <c r="J2" s="14" t="s">
        <v>9</v>
      </c>
      <c r="K2" s="14" t="s">
        <v>10</v>
      </c>
      <c r="L2" s="14" t="s">
        <v>11</v>
      </c>
      <c r="M2" s="29" t="s">
        <v>12</v>
      </c>
      <c r="N2" s="33" t="s">
        <v>13</v>
      </c>
      <c r="O2" s="38" t="s">
        <v>14</v>
      </c>
      <c r="P2" s="38" t="s">
        <v>15</v>
      </c>
      <c r="Q2" s="14" t="s">
        <v>16</v>
      </c>
      <c r="R2" s="14" t="s">
        <v>17</v>
      </c>
      <c r="S2" s="43" t="s">
        <v>18</v>
      </c>
      <c r="T2" s="38" t="s">
        <v>19</v>
      </c>
      <c r="U2" s="3" t="s">
        <v>20</v>
      </c>
      <c r="V2" s="1" t="s">
        <v>21</v>
      </c>
      <c r="W2" s="1" t="s">
        <v>22</v>
      </c>
      <c r="X2" s="1" t="s">
        <v>23</v>
      </c>
      <c r="Y2" s="1" t="s">
        <v>24</v>
      </c>
      <c r="Z2" s="1" t="s">
        <v>25</v>
      </c>
      <c r="AA2" s="1" t="s">
        <v>26</v>
      </c>
      <c r="AB2" s="1" t="s">
        <v>27</v>
      </c>
      <c r="AC2" s="1" t="s">
        <v>28</v>
      </c>
      <c r="AD2" s="1" t="s">
        <v>29</v>
      </c>
      <c r="AE2" s="2"/>
      <c r="AF2" s="2"/>
      <c r="AG2" s="2"/>
      <c r="AH2" s="2"/>
      <c r="AI2" s="2"/>
      <c r="AJ2" s="2"/>
      <c r="AK2" s="2"/>
      <c r="AL2" s="2"/>
      <c r="AM2" s="2"/>
      <c r="AN2" s="2"/>
      <c r="AO2" s="2"/>
      <c r="AP2" s="2"/>
      <c r="AQ2" s="2"/>
      <c r="AR2" s="2"/>
      <c r="AS2" s="2"/>
      <c r="AT2" s="2"/>
      <c r="AU2" s="2"/>
      <c r="AV2" s="2"/>
      <c r="AW2" s="2"/>
      <c r="AX2" s="2"/>
    </row>
    <row r="3" spans="1:50" x14ac:dyDescent="0.25">
      <c r="A3" t="s">
        <v>220</v>
      </c>
      <c r="B3" t="s">
        <v>221</v>
      </c>
      <c r="C3" s="25">
        <v>44984</v>
      </c>
      <c r="D3" s="15">
        <v>1000</v>
      </c>
      <c r="E3" t="s">
        <v>114</v>
      </c>
      <c r="F3" t="s">
        <v>33</v>
      </c>
      <c r="G3" s="15">
        <v>1000</v>
      </c>
      <c r="H3" s="15">
        <v>1100</v>
      </c>
      <c r="I3" s="20">
        <f t="shared" ref="I3:I42" si="0">H3/G3*100</f>
        <v>110.00000000000001</v>
      </c>
      <c r="J3" s="15">
        <v>2700</v>
      </c>
      <c r="K3" s="15">
        <f>G3-0</f>
        <v>1000</v>
      </c>
      <c r="L3" s="15">
        <v>2700</v>
      </c>
      <c r="M3" s="30">
        <v>0</v>
      </c>
      <c r="N3" s="34">
        <v>0</v>
      </c>
      <c r="O3" s="39">
        <v>0.15</v>
      </c>
      <c r="P3" s="39">
        <v>0.15</v>
      </c>
      <c r="Q3" s="15" t="e">
        <f t="shared" ref="Q3:Q42" si="1">K3/M3</f>
        <v>#DIV/0!</v>
      </c>
      <c r="R3" s="15">
        <f t="shared" ref="R3:R42" si="2">K3/O3</f>
        <v>6666.666666666667</v>
      </c>
      <c r="S3" s="44">
        <f t="shared" ref="S3:S42" si="3">K3/O3/43560</f>
        <v>0.15304560759106214</v>
      </c>
      <c r="T3" s="39">
        <v>0</v>
      </c>
      <c r="U3" s="5" t="s">
        <v>34</v>
      </c>
      <c r="V3" t="s">
        <v>222</v>
      </c>
      <c r="X3" t="s">
        <v>36</v>
      </c>
      <c r="Y3">
        <v>0</v>
      </c>
      <c r="Z3">
        <v>0</v>
      </c>
      <c r="AA3" t="s">
        <v>37</v>
      </c>
      <c r="AC3" s="6" t="s">
        <v>173</v>
      </c>
    </row>
    <row r="4" spans="1:50" x14ac:dyDescent="0.25">
      <c r="A4" t="s">
        <v>155</v>
      </c>
      <c r="B4" t="s">
        <v>156</v>
      </c>
      <c r="C4" s="25">
        <v>44998</v>
      </c>
      <c r="D4" s="15">
        <v>1802</v>
      </c>
      <c r="E4" t="s">
        <v>114</v>
      </c>
      <c r="F4" t="s">
        <v>33</v>
      </c>
      <c r="G4" s="15">
        <v>1802</v>
      </c>
      <c r="H4" s="15">
        <v>2600</v>
      </c>
      <c r="I4" s="20">
        <f t="shared" si="0"/>
        <v>144.28412874583796</v>
      </c>
      <c r="J4" s="15">
        <v>6750</v>
      </c>
      <c r="K4" s="15">
        <f>G4-0</f>
        <v>1802</v>
      </c>
      <c r="L4" s="15">
        <v>6750</v>
      </c>
      <c r="M4" s="30">
        <v>0</v>
      </c>
      <c r="N4" s="34">
        <v>0</v>
      </c>
      <c r="O4" s="39">
        <v>0.5</v>
      </c>
      <c r="P4" s="39">
        <v>0.5</v>
      </c>
      <c r="Q4" s="15" t="e">
        <f t="shared" si="1"/>
        <v>#DIV/0!</v>
      </c>
      <c r="R4" s="15">
        <f t="shared" si="2"/>
        <v>3604</v>
      </c>
      <c r="S4" s="44">
        <f t="shared" si="3"/>
        <v>8.2736455463728195E-2</v>
      </c>
      <c r="T4" s="39">
        <v>0</v>
      </c>
      <c r="U4" s="5" t="s">
        <v>34</v>
      </c>
      <c r="V4" t="s">
        <v>157</v>
      </c>
      <c r="X4" t="s">
        <v>36</v>
      </c>
      <c r="Y4">
        <v>0</v>
      </c>
      <c r="Z4">
        <v>0</v>
      </c>
      <c r="AA4" t="s">
        <v>37</v>
      </c>
      <c r="AC4" s="6" t="s">
        <v>38</v>
      </c>
    </row>
    <row r="5" spans="1:50" x14ac:dyDescent="0.25">
      <c r="A5" t="s">
        <v>201</v>
      </c>
      <c r="B5" t="s">
        <v>202</v>
      </c>
      <c r="C5" s="25">
        <v>45071</v>
      </c>
      <c r="D5" s="15">
        <v>5000</v>
      </c>
      <c r="E5" t="s">
        <v>32</v>
      </c>
      <c r="F5" t="s">
        <v>33</v>
      </c>
      <c r="G5" s="15">
        <v>5000</v>
      </c>
      <c r="H5" s="15">
        <v>2200</v>
      </c>
      <c r="I5" s="20">
        <f t="shared" si="0"/>
        <v>44</v>
      </c>
      <c r="J5" s="15">
        <v>6225</v>
      </c>
      <c r="K5" s="15">
        <f>G5-0</f>
        <v>5000</v>
      </c>
      <c r="L5" s="15">
        <v>5310</v>
      </c>
      <c r="M5" s="30">
        <v>0</v>
      </c>
      <c r="N5" s="34">
        <v>0</v>
      </c>
      <c r="O5" s="39">
        <v>0.59</v>
      </c>
      <c r="P5" s="39">
        <v>0.59</v>
      </c>
      <c r="Q5" s="15" t="e">
        <f t="shared" si="1"/>
        <v>#DIV/0!</v>
      </c>
      <c r="R5" s="15">
        <f t="shared" si="2"/>
        <v>8474.5762711864409</v>
      </c>
      <c r="S5" s="44">
        <f t="shared" si="3"/>
        <v>0.19454950117507899</v>
      </c>
      <c r="T5" s="39">
        <v>0</v>
      </c>
      <c r="U5" s="5" t="s">
        <v>34</v>
      </c>
      <c r="X5" t="s">
        <v>36</v>
      </c>
      <c r="Y5">
        <v>0</v>
      </c>
      <c r="Z5">
        <v>0</v>
      </c>
      <c r="AA5" t="s">
        <v>37</v>
      </c>
      <c r="AC5" s="6" t="s">
        <v>38</v>
      </c>
    </row>
    <row r="6" spans="1:50" x14ac:dyDescent="0.25">
      <c r="A6" t="s">
        <v>85</v>
      </c>
      <c r="B6" t="s">
        <v>86</v>
      </c>
      <c r="C6" s="25">
        <v>44855</v>
      </c>
      <c r="D6" s="15">
        <v>178000</v>
      </c>
      <c r="E6" t="s">
        <v>32</v>
      </c>
      <c r="F6" t="s">
        <v>33</v>
      </c>
      <c r="G6" s="15">
        <v>178000</v>
      </c>
      <c r="H6" s="15">
        <v>47700</v>
      </c>
      <c r="I6" s="20">
        <f t="shared" si="0"/>
        <v>26.797752808988761</v>
      </c>
      <c r="J6" s="15">
        <v>126100</v>
      </c>
      <c r="K6" s="15">
        <f>G6-117100</f>
        <v>60900</v>
      </c>
      <c r="L6" s="15">
        <v>9000</v>
      </c>
      <c r="M6" s="30">
        <v>0</v>
      </c>
      <c r="N6" s="34">
        <v>0</v>
      </c>
      <c r="O6" s="39">
        <v>1</v>
      </c>
      <c r="P6" s="39">
        <v>1</v>
      </c>
      <c r="Q6" s="15" t="e">
        <f t="shared" si="1"/>
        <v>#DIV/0!</v>
      </c>
      <c r="R6" s="15">
        <f t="shared" si="2"/>
        <v>60900</v>
      </c>
      <c r="S6" s="44">
        <f t="shared" si="3"/>
        <v>1.3980716253443526</v>
      </c>
      <c r="T6" s="39">
        <v>0</v>
      </c>
      <c r="U6" s="5" t="s">
        <v>34</v>
      </c>
      <c r="V6" t="s">
        <v>87</v>
      </c>
      <c r="X6" t="s">
        <v>36</v>
      </c>
      <c r="Y6">
        <v>0</v>
      </c>
      <c r="Z6">
        <v>1</v>
      </c>
      <c r="AA6" t="s">
        <v>37</v>
      </c>
      <c r="AC6" s="6" t="s">
        <v>38</v>
      </c>
    </row>
    <row r="7" spans="1:50" x14ac:dyDescent="0.25">
      <c r="A7" t="s">
        <v>215</v>
      </c>
      <c r="B7" t="s">
        <v>216</v>
      </c>
      <c r="C7" s="25">
        <v>45058</v>
      </c>
      <c r="D7" s="15">
        <v>131500</v>
      </c>
      <c r="E7" t="s">
        <v>217</v>
      </c>
      <c r="F7" t="s">
        <v>33</v>
      </c>
      <c r="G7" s="15">
        <v>131500</v>
      </c>
      <c r="H7" s="15">
        <v>27300</v>
      </c>
      <c r="I7" s="20">
        <f t="shared" si="0"/>
        <v>20.760456273764259</v>
      </c>
      <c r="J7" s="15">
        <v>62512</v>
      </c>
      <c r="K7" s="15">
        <f>G7-55602</f>
        <v>75898</v>
      </c>
      <c r="L7" s="15">
        <v>6910</v>
      </c>
      <c r="M7" s="30">
        <v>0</v>
      </c>
      <c r="N7" s="34">
        <v>0</v>
      </c>
      <c r="O7" s="39">
        <v>1.62</v>
      </c>
      <c r="P7" s="39">
        <v>0.31</v>
      </c>
      <c r="Q7" s="15" t="e">
        <f t="shared" si="1"/>
        <v>#DIV/0!</v>
      </c>
      <c r="R7" s="15">
        <f t="shared" si="2"/>
        <v>46850.617283950611</v>
      </c>
      <c r="S7" s="44">
        <f t="shared" si="3"/>
        <v>1.0755421782357808</v>
      </c>
      <c r="T7" s="39">
        <v>0</v>
      </c>
      <c r="U7" s="5" t="s">
        <v>34</v>
      </c>
      <c r="V7" t="s">
        <v>218</v>
      </c>
      <c r="W7" t="s">
        <v>219</v>
      </c>
      <c r="X7" t="s">
        <v>36</v>
      </c>
      <c r="Y7">
        <v>0</v>
      </c>
      <c r="Z7">
        <v>1</v>
      </c>
      <c r="AA7" t="s">
        <v>37</v>
      </c>
      <c r="AC7" s="6" t="s">
        <v>38</v>
      </c>
    </row>
    <row r="8" spans="1:50" x14ac:dyDescent="0.25">
      <c r="A8" t="s">
        <v>158</v>
      </c>
      <c r="B8" t="s">
        <v>159</v>
      </c>
      <c r="C8" s="25">
        <v>45236</v>
      </c>
      <c r="D8" s="15">
        <v>240000</v>
      </c>
      <c r="E8" t="s">
        <v>32</v>
      </c>
      <c r="F8" t="s">
        <v>33</v>
      </c>
      <c r="G8" s="15">
        <v>240000</v>
      </c>
      <c r="H8" s="15">
        <v>90500</v>
      </c>
      <c r="I8" s="20">
        <f t="shared" si="0"/>
        <v>37.708333333333336</v>
      </c>
      <c r="J8" s="15">
        <v>210837</v>
      </c>
      <c r="K8" s="15">
        <f>G8-194837</f>
        <v>45163</v>
      </c>
      <c r="L8" s="15">
        <v>16000</v>
      </c>
      <c r="M8" s="30">
        <v>0</v>
      </c>
      <c r="N8" s="34">
        <v>0</v>
      </c>
      <c r="O8" s="39">
        <v>2</v>
      </c>
      <c r="P8" s="39">
        <v>2</v>
      </c>
      <c r="Q8" s="15" t="e">
        <f t="shared" si="1"/>
        <v>#DIV/0!</v>
      </c>
      <c r="R8" s="15">
        <f t="shared" si="2"/>
        <v>22581.5</v>
      </c>
      <c r="S8" s="44">
        <f t="shared" si="3"/>
        <v>0.51839990817263548</v>
      </c>
      <c r="T8" s="39">
        <v>0</v>
      </c>
      <c r="U8" s="5" t="s">
        <v>34</v>
      </c>
      <c r="V8" t="s">
        <v>160</v>
      </c>
      <c r="X8" t="s">
        <v>36</v>
      </c>
      <c r="Y8">
        <v>0</v>
      </c>
      <c r="Z8">
        <v>1</v>
      </c>
      <c r="AA8" t="s">
        <v>37</v>
      </c>
      <c r="AC8" s="6" t="s">
        <v>38</v>
      </c>
    </row>
    <row r="9" spans="1:50" x14ac:dyDescent="0.25">
      <c r="A9" t="s">
        <v>212</v>
      </c>
      <c r="B9" t="s">
        <v>213</v>
      </c>
      <c r="C9" s="25">
        <v>45085</v>
      </c>
      <c r="D9" s="15">
        <v>265000</v>
      </c>
      <c r="E9" t="s">
        <v>140</v>
      </c>
      <c r="F9" t="s">
        <v>33</v>
      </c>
      <c r="G9" s="15">
        <v>265000</v>
      </c>
      <c r="H9" s="15">
        <v>119700</v>
      </c>
      <c r="I9" s="20">
        <f t="shared" si="0"/>
        <v>45.169811320754718</v>
      </c>
      <c r="J9" s="15">
        <v>277478</v>
      </c>
      <c r="K9" s="15">
        <f>G9-261478</f>
        <v>3522</v>
      </c>
      <c r="L9" s="15">
        <v>16000</v>
      </c>
      <c r="M9" s="30">
        <v>0</v>
      </c>
      <c r="N9" s="34">
        <v>0</v>
      </c>
      <c r="O9" s="39">
        <v>2</v>
      </c>
      <c r="P9" s="39">
        <v>2</v>
      </c>
      <c r="Q9" s="15" t="e">
        <f t="shared" si="1"/>
        <v>#DIV/0!</v>
      </c>
      <c r="R9" s="15">
        <f t="shared" si="2"/>
        <v>1761</v>
      </c>
      <c r="S9" s="44">
        <f t="shared" si="3"/>
        <v>4.0426997245179064E-2</v>
      </c>
      <c r="T9" s="39">
        <v>0</v>
      </c>
      <c r="U9" s="5" t="s">
        <v>34</v>
      </c>
      <c r="V9" t="s">
        <v>214</v>
      </c>
      <c r="X9" t="s">
        <v>36</v>
      </c>
      <c r="Y9">
        <v>0</v>
      </c>
      <c r="Z9">
        <v>0</v>
      </c>
      <c r="AA9" s="7">
        <v>45265</v>
      </c>
      <c r="AC9" s="6" t="s">
        <v>38</v>
      </c>
    </row>
    <row r="10" spans="1:50" x14ac:dyDescent="0.25">
      <c r="A10" t="s">
        <v>69</v>
      </c>
      <c r="B10" t="s">
        <v>70</v>
      </c>
      <c r="C10" s="25">
        <v>44741</v>
      </c>
      <c r="D10" s="15">
        <v>30000</v>
      </c>
      <c r="E10" t="s">
        <v>32</v>
      </c>
      <c r="F10" t="s">
        <v>33</v>
      </c>
      <c r="G10" s="15">
        <v>30000</v>
      </c>
      <c r="H10" s="15">
        <v>5000</v>
      </c>
      <c r="I10" s="20">
        <f t="shared" si="0"/>
        <v>16.666666666666664</v>
      </c>
      <c r="J10" s="15">
        <v>16055</v>
      </c>
      <c r="K10" s="15">
        <f>G10-0</f>
        <v>30000</v>
      </c>
      <c r="L10" s="15">
        <v>16055</v>
      </c>
      <c r="M10" s="30">
        <v>0</v>
      </c>
      <c r="N10" s="34">
        <v>0</v>
      </c>
      <c r="O10" s="39">
        <v>2.0099999999999998</v>
      </c>
      <c r="P10" s="39">
        <v>2.0099999999999998</v>
      </c>
      <c r="Q10" s="15" t="e">
        <f t="shared" si="1"/>
        <v>#DIV/0!</v>
      </c>
      <c r="R10" s="15">
        <f t="shared" si="2"/>
        <v>14925.37313432836</v>
      </c>
      <c r="S10" s="44">
        <f t="shared" si="3"/>
        <v>0.34263941997998987</v>
      </c>
      <c r="T10" s="39">
        <v>0</v>
      </c>
      <c r="U10" s="5" t="s">
        <v>34</v>
      </c>
      <c r="V10" t="s">
        <v>71</v>
      </c>
      <c r="X10" t="s">
        <v>36</v>
      </c>
      <c r="Y10">
        <v>0</v>
      </c>
      <c r="Z10">
        <v>0</v>
      </c>
      <c r="AA10" t="s">
        <v>37</v>
      </c>
      <c r="AC10" s="6" t="s">
        <v>38</v>
      </c>
    </row>
    <row r="11" spans="1:50" x14ac:dyDescent="0.25">
      <c r="A11" t="s">
        <v>198</v>
      </c>
      <c r="B11" t="s">
        <v>199</v>
      </c>
      <c r="C11" s="25">
        <v>45198</v>
      </c>
      <c r="D11" s="15">
        <v>159900</v>
      </c>
      <c r="E11" t="s">
        <v>32</v>
      </c>
      <c r="F11" t="s">
        <v>33</v>
      </c>
      <c r="G11" s="15">
        <v>159900</v>
      </c>
      <c r="H11" s="15">
        <v>41400</v>
      </c>
      <c r="I11" s="20">
        <f t="shared" si="0"/>
        <v>25.891181988742961</v>
      </c>
      <c r="J11" s="15">
        <v>99285</v>
      </c>
      <c r="K11" s="15">
        <f>G11-82185</f>
        <v>77715</v>
      </c>
      <c r="L11" s="15">
        <v>17100</v>
      </c>
      <c r="M11" s="30">
        <v>0</v>
      </c>
      <c r="N11" s="34">
        <v>0</v>
      </c>
      <c r="O11" s="39">
        <v>2.2000000000000002</v>
      </c>
      <c r="P11" s="39">
        <v>2.2000000000000002</v>
      </c>
      <c r="Q11" s="15" t="e">
        <f t="shared" si="1"/>
        <v>#DIV/0!</v>
      </c>
      <c r="R11" s="15">
        <f t="shared" si="2"/>
        <v>35325</v>
      </c>
      <c r="S11" s="44">
        <f t="shared" si="3"/>
        <v>0.81095041322314054</v>
      </c>
      <c r="T11" s="39">
        <v>0</v>
      </c>
      <c r="U11" s="5" t="s">
        <v>34</v>
      </c>
      <c r="V11" t="s">
        <v>200</v>
      </c>
      <c r="X11" t="s">
        <v>36</v>
      </c>
      <c r="Y11">
        <v>0</v>
      </c>
      <c r="Z11">
        <v>0</v>
      </c>
      <c r="AA11" s="7">
        <v>42666</v>
      </c>
      <c r="AC11" s="6" t="s">
        <v>38</v>
      </c>
    </row>
    <row r="12" spans="1:50" x14ac:dyDescent="0.25">
      <c r="A12" t="s">
        <v>206</v>
      </c>
      <c r="B12" t="s">
        <v>207</v>
      </c>
      <c r="C12" s="25">
        <v>45174</v>
      </c>
      <c r="D12" s="15">
        <v>230000</v>
      </c>
      <c r="E12" t="s">
        <v>32</v>
      </c>
      <c r="F12" t="s">
        <v>33</v>
      </c>
      <c r="G12" s="15">
        <v>230000</v>
      </c>
      <c r="H12" s="15">
        <v>44300</v>
      </c>
      <c r="I12" s="20">
        <f t="shared" si="0"/>
        <v>19.260869565217391</v>
      </c>
      <c r="J12" s="15">
        <v>108560</v>
      </c>
      <c r="K12" s="15">
        <f>G12-84160</f>
        <v>145840</v>
      </c>
      <c r="L12" s="15">
        <v>24400</v>
      </c>
      <c r="M12" s="30">
        <v>0</v>
      </c>
      <c r="N12" s="34">
        <v>0</v>
      </c>
      <c r="O12" s="39">
        <v>3.68</v>
      </c>
      <c r="P12" s="39">
        <v>3.68</v>
      </c>
      <c r="Q12" s="15" t="e">
        <f t="shared" si="1"/>
        <v>#DIV/0!</v>
      </c>
      <c r="R12" s="15">
        <f t="shared" si="2"/>
        <v>39630.434782608696</v>
      </c>
      <c r="S12" s="44">
        <f t="shared" si="3"/>
        <v>0.90978959556034655</v>
      </c>
      <c r="T12" s="39">
        <v>0</v>
      </c>
      <c r="U12" s="5" t="s">
        <v>34</v>
      </c>
      <c r="V12" t="s">
        <v>208</v>
      </c>
      <c r="X12" t="s">
        <v>36</v>
      </c>
      <c r="Y12">
        <v>0</v>
      </c>
      <c r="Z12">
        <v>0</v>
      </c>
      <c r="AA12" s="7">
        <v>45265</v>
      </c>
      <c r="AC12" s="6" t="s">
        <v>38</v>
      </c>
    </row>
    <row r="13" spans="1:50" x14ac:dyDescent="0.25">
      <c r="A13" t="s">
        <v>82</v>
      </c>
      <c r="B13" t="s">
        <v>83</v>
      </c>
      <c r="C13" s="25">
        <v>45009</v>
      </c>
      <c r="D13" s="15">
        <v>198948</v>
      </c>
      <c r="E13" t="s">
        <v>32</v>
      </c>
      <c r="F13" t="s">
        <v>33</v>
      </c>
      <c r="G13" s="15">
        <v>198948</v>
      </c>
      <c r="H13" s="15">
        <v>62800</v>
      </c>
      <c r="I13" s="20">
        <f t="shared" si="0"/>
        <v>31.566037356495162</v>
      </c>
      <c r="J13" s="15">
        <v>171664</v>
      </c>
      <c r="K13" s="15">
        <f>G13-146064</f>
        <v>52884</v>
      </c>
      <c r="L13" s="15">
        <v>25600</v>
      </c>
      <c r="M13" s="30">
        <v>0</v>
      </c>
      <c r="N13" s="34">
        <v>0</v>
      </c>
      <c r="O13" s="39">
        <v>3.92</v>
      </c>
      <c r="P13" s="39">
        <v>3.92</v>
      </c>
      <c r="Q13" s="15" t="e">
        <f t="shared" si="1"/>
        <v>#DIV/0!</v>
      </c>
      <c r="R13" s="15">
        <f t="shared" si="2"/>
        <v>13490.816326530612</v>
      </c>
      <c r="S13" s="44">
        <f t="shared" si="3"/>
        <v>0.30970652723899478</v>
      </c>
      <c r="T13" s="39">
        <v>0</v>
      </c>
      <c r="U13" s="5" t="s">
        <v>34</v>
      </c>
      <c r="V13" t="s">
        <v>84</v>
      </c>
      <c r="X13" t="s">
        <v>36</v>
      </c>
      <c r="Y13">
        <v>0</v>
      </c>
      <c r="Z13">
        <v>1</v>
      </c>
      <c r="AA13" t="s">
        <v>37</v>
      </c>
      <c r="AC13" s="6" t="s">
        <v>38</v>
      </c>
    </row>
    <row r="14" spans="1:50" x14ac:dyDescent="0.25">
      <c r="A14" t="s">
        <v>174</v>
      </c>
      <c r="B14" t="s">
        <v>162</v>
      </c>
      <c r="C14" s="25">
        <v>45014</v>
      </c>
      <c r="D14" s="15">
        <v>26000</v>
      </c>
      <c r="E14" t="s">
        <v>32</v>
      </c>
      <c r="F14" t="s">
        <v>33</v>
      </c>
      <c r="G14" s="15">
        <v>26000</v>
      </c>
      <c r="H14" s="15">
        <v>7800</v>
      </c>
      <c r="I14" s="20">
        <f t="shared" si="0"/>
        <v>30</v>
      </c>
      <c r="J14" s="15">
        <v>26015</v>
      </c>
      <c r="K14" s="15">
        <f>G14-0</f>
        <v>26000</v>
      </c>
      <c r="L14" s="15">
        <v>26015</v>
      </c>
      <c r="M14" s="30">
        <v>0</v>
      </c>
      <c r="N14" s="34">
        <v>0</v>
      </c>
      <c r="O14" s="39">
        <v>4.01</v>
      </c>
      <c r="P14" s="39">
        <v>4.01</v>
      </c>
      <c r="Q14" s="15" t="e">
        <f t="shared" si="1"/>
        <v>#DIV/0!</v>
      </c>
      <c r="R14" s="15">
        <f t="shared" si="2"/>
        <v>6483.7905236907736</v>
      </c>
      <c r="S14" s="44">
        <f t="shared" si="3"/>
        <v>0.1488473490287138</v>
      </c>
      <c r="T14" s="39">
        <v>0</v>
      </c>
      <c r="U14" s="5" t="s">
        <v>34</v>
      </c>
      <c r="V14" t="s">
        <v>175</v>
      </c>
      <c r="X14" t="s">
        <v>36</v>
      </c>
      <c r="Y14">
        <v>0</v>
      </c>
      <c r="Z14">
        <v>1</v>
      </c>
      <c r="AA14" t="s">
        <v>37</v>
      </c>
      <c r="AC14" s="6" t="s">
        <v>38</v>
      </c>
    </row>
    <row r="15" spans="1:50" x14ac:dyDescent="0.25">
      <c r="A15" t="s">
        <v>176</v>
      </c>
      <c r="B15" t="s">
        <v>162</v>
      </c>
      <c r="C15" s="25">
        <v>44812</v>
      </c>
      <c r="D15" s="15">
        <v>26000</v>
      </c>
      <c r="E15" t="s">
        <v>32</v>
      </c>
      <c r="F15" t="s">
        <v>33</v>
      </c>
      <c r="G15" s="15">
        <v>26000</v>
      </c>
      <c r="H15" s="15">
        <v>7800</v>
      </c>
      <c r="I15" s="20">
        <f t="shared" si="0"/>
        <v>30</v>
      </c>
      <c r="J15" s="15">
        <v>26015</v>
      </c>
      <c r="K15" s="15">
        <f>G15-0</f>
        <v>26000</v>
      </c>
      <c r="L15" s="15">
        <v>26015</v>
      </c>
      <c r="M15" s="30">
        <v>0</v>
      </c>
      <c r="N15" s="34">
        <v>0</v>
      </c>
      <c r="O15" s="39">
        <v>4.01</v>
      </c>
      <c r="P15" s="39">
        <v>4.01</v>
      </c>
      <c r="Q15" s="15" t="e">
        <f t="shared" si="1"/>
        <v>#DIV/0!</v>
      </c>
      <c r="R15" s="15">
        <f t="shared" si="2"/>
        <v>6483.7905236907736</v>
      </c>
      <c r="S15" s="44">
        <f t="shared" si="3"/>
        <v>0.1488473490287138</v>
      </c>
      <c r="T15" s="39">
        <v>0</v>
      </c>
      <c r="U15" s="5" t="s">
        <v>34</v>
      </c>
      <c r="V15" t="s">
        <v>177</v>
      </c>
      <c r="X15" t="s">
        <v>36</v>
      </c>
      <c r="Y15">
        <v>0</v>
      </c>
      <c r="Z15">
        <v>1</v>
      </c>
      <c r="AA15" t="s">
        <v>37</v>
      </c>
      <c r="AC15" s="6" t="s">
        <v>38</v>
      </c>
    </row>
    <row r="16" spans="1:50" x14ac:dyDescent="0.25">
      <c r="A16" t="s">
        <v>41</v>
      </c>
      <c r="B16" t="s">
        <v>42</v>
      </c>
      <c r="C16" s="25">
        <v>44939</v>
      </c>
      <c r="D16" s="15">
        <v>189900</v>
      </c>
      <c r="E16" t="s">
        <v>32</v>
      </c>
      <c r="F16" t="s">
        <v>33</v>
      </c>
      <c r="G16" s="15">
        <v>189900</v>
      </c>
      <c r="H16" s="15">
        <v>64600</v>
      </c>
      <c r="I16" s="20">
        <f t="shared" si="0"/>
        <v>34.017904160084257</v>
      </c>
      <c r="J16" s="15">
        <v>176876</v>
      </c>
      <c r="K16" s="15">
        <f>G16-150846</f>
        <v>39054</v>
      </c>
      <c r="L16" s="15">
        <v>26030</v>
      </c>
      <c r="M16" s="30">
        <v>0</v>
      </c>
      <c r="N16" s="34">
        <v>0</v>
      </c>
      <c r="O16" s="39">
        <v>4.0199999999999996</v>
      </c>
      <c r="P16" s="39">
        <v>4.0199999999999996</v>
      </c>
      <c r="Q16" s="15" t="e">
        <f t="shared" si="1"/>
        <v>#DIV/0!</v>
      </c>
      <c r="R16" s="15">
        <f t="shared" si="2"/>
        <v>9714.9253731343288</v>
      </c>
      <c r="S16" s="44">
        <f t="shared" si="3"/>
        <v>0.22302399846497542</v>
      </c>
      <c r="T16" s="39">
        <v>0</v>
      </c>
      <c r="U16" s="5" t="s">
        <v>34</v>
      </c>
      <c r="V16" t="s">
        <v>43</v>
      </c>
      <c r="X16" t="s">
        <v>36</v>
      </c>
      <c r="Y16">
        <v>0</v>
      </c>
      <c r="Z16">
        <v>1</v>
      </c>
      <c r="AA16" s="7">
        <v>44685</v>
      </c>
      <c r="AC16" s="6" t="s">
        <v>38</v>
      </c>
    </row>
    <row r="17" spans="1:29" x14ac:dyDescent="0.25">
      <c r="A17" t="s">
        <v>146</v>
      </c>
      <c r="B17" t="s">
        <v>147</v>
      </c>
      <c r="C17" s="25">
        <v>44762</v>
      </c>
      <c r="D17" s="15">
        <v>179900</v>
      </c>
      <c r="E17" t="s">
        <v>32</v>
      </c>
      <c r="F17" t="s">
        <v>33</v>
      </c>
      <c r="G17" s="15">
        <v>179900</v>
      </c>
      <c r="H17" s="15">
        <v>0</v>
      </c>
      <c r="I17" s="20">
        <f t="shared" si="0"/>
        <v>0</v>
      </c>
      <c r="J17" s="15">
        <v>199624</v>
      </c>
      <c r="K17" s="15">
        <f>G17-172124</f>
        <v>7776</v>
      </c>
      <c r="L17" s="15">
        <v>27500</v>
      </c>
      <c r="M17" s="30">
        <v>0</v>
      </c>
      <c r="N17" s="34">
        <v>0</v>
      </c>
      <c r="O17" s="39">
        <v>5</v>
      </c>
      <c r="P17" s="39">
        <v>5</v>
      </c>
      <c r="Q17" s="15" t="e">
        <f t="shared" si="1"/>
        <v>#DIV/0!</v>
      </c>
      <c r="R17" s="15">
        <f t="shared" si="2"/>
        <v>1555.2</v>
      </c>
      <c r="S17" s="44">
        <f t="shared" si="3"/>
        <v>3.5702479338842977E-2</v>
      </c>
      <c r="T17" s="39">
        <v>0</v>
      </c>
      <c r="U17" s="5" t="s">
        <v>34</v>
      </c>
      <c r="V17" t="s">
        <v>148</v>
      </c>
      <c r="X17" t="s">
        <v>36</v>
      </c>
      <c r="Y17">
        <v>0</v>
      </c>
      <c r="Z17">
        <v>1</v>
      </c>
      <c r="AA17" s="7">
        <v>45265</v>
      </c>
      <c r="AC17" s="6" t="s">
        <v>38</v>
      </c>
    </row>
    <row r="18" spans="1:29" x14ac:dyDescent="0.25">
      <c r="A18" t="s">
        <v>149</v>
      </c>
      <c r="B18" t="s">
        <v>150</v>
      </c>
      <c r="C18" s="25">
        <v>44693</v>
      </c>
      <c r="D18" s="15">
        <v>220000</v>
      </c>
      <c r="E18" t="s">
        <v>32</v>
      </c>
      <c r="F18" t="s">
        <v>33</v>
      </c>
      <c r="G18" s="15">
        <v>220000</v>
      </c>
      <c r="H18" s="15">
        <v>0</v>
      </c>
      <c r="I18" s="20">
        <f t="shared" si="0"/>
        <v>0</v>
      </c>
      <c r="J18" s="15">
        <v>233899</v>
      </c>
      <c r="K18" s="15">
        <f>G18-206399</f>
        <v>13601</v>
      </c>
      <c r="L18" s="15">
        <v>27500</v>
      </c>
      <c r="M18" s="30">
        <v>0</v>
      </c>
      <c r="N18" s="34">
        <v>0</v>
      </c>
      <c r="O18" s="39">
        <v>5</v>
      </c>
      <c r="P18" s="39">
        <v>5</v>
      </c>
      <c r="Q18" s="15" t="e">
        <f t="shared" si="1"/>
        <v>#DIV/0!</v>
      </c>
      <c r="R18" s="15">
        <f t="shared" si="2"/>
        <v>2720.2</v>
      </c>
      <c r="S18" s="44">
        <f t="shared" si="3"/>
        <v>6.244719926538108E-2</v>
      </c>
      <c r="T18" s="39">
        <v>0</v>
      </c>
      <c r="U18" s="5" t="s">
        <v>34</v>
      </c>
      <c r="V18" t="s">
        <v>151</v>
      </c>
      <c r="X18" t="s">
        <v>36</v>
      </c>
      <c r="Y18">
        <v>0</v>
      </c>
      <c r="Z18">
        <v>0</v>
      </c>
      <c r="AA18" t="s">
        <v>37</v>
      </c>
      <c r="AC18" s="6" t="s">
        <v>38</v>
      </c>
    </row>
    <row r="19" spans="1:29" x14ac:dyDescent="0.25">
      <c r="A19" t="s">
        <v>226</v>
      </c>
      <c r="B19" t="s">
        <v>227</v>
      </c>
      <c r="C19" s="25">
        <v>44776</v>
      </c>
      <c r="D19" s="15">
        <v>25000</v>
      </c>
      <c r="E19" t="s">
        <v>32</v>
      </c>
      <c r="F19" t="s">
        <v>33</v>
      </c>
      <c r="G19" s="15">
        <v>25000</v>
      </c>
      <c r="H19" s="15">
        <v>8800</v>
      </c>
      <c r="I19" s="20">
        <f t="shared" si="0"/>
        <v>35.199999999999996</v>
      </c>
      <c r="J19" s="15">
        <v>46370</v>
      </c>
      <c r="K19" s="15">
        <f>G19-18870</f>
        <v>6130</v>
      </c>
      <c r="L19" s="15">
        <v>27500</v>
      </c>
      <c r="M19" s="30">
        <v>0</v>
      </c>
      <c r="N19" s="34">
        <v>0</v>
      </c>
      <c r="O19" s="39">
        <v>5</v>
      </c>
      <c r="P19" s="39">
        <v>5</v>
      </c>
      <c r="Q19" s="15" t="e">
        <f t="shared" si="1"/>
        <v>#DIV/0!</v>
      </c>
      <c r="R19" s="15">
        <f t="shared" si="2"/>
        <v>1226</v>
      </c>
      <c r="S19" s="44">
        <f t="shared" si="3"/>
        <v>2.8145087235996326E-2</v>
      </c>
      <c r="T19" s="39">
        <v>0</v>
      </c>
      <c r="U19" s="5" t="s">
        <v>34</v>
      </c>
      <c r="V19" t="s">
        <v>228</v>
      </c>
      <c r="X19" t="s">
        <v>36</v>
      </c>
      <c r="Y19">
        <v>0</v>
      </c>
      <c r="Z19">
        <v>0</v>
      </c>
      <c r="AA19" s="7">
        <v>45265</v>
      </c>
      <c r="AC19" s="6" t="s">
        <v>38</v>
      </c>
    </row>
    <row r="20" spans="1:29" x14ac:dyDescent="0.25">
      <c r="A20" t="s">
        <v>203</v>
      </c>
      <c r="B20" t="s">
        <v>204</v>
      </c>
      <c r="C20" s="25">
        <v>44979</v>
      </c>
      <c r="D20" s="15">
        <v>280000</v>
      </c>
      <c r="E20" t="s">
        <v>32</v>
      </c>
      <c r="F20" t="s">
        <v>33</v>
      </c>
      <c r="G20" s="15">
        <v>280000</v>
      </c>
      <c r="H20" s="15">
        <v>67900</v>
      </c>
      <c r="I20" s="20">
        <f t="shared" si="0"/>
        <v>24.25</v>
      </c>
      <c r="J20" s="15">
        <v>183488</v>
      </c>
      <c r="K20" s="15">
        <f>G20-155959</f>
        <v>124041</v>
      </c>
      <c r="L20" s="15">
        <v>27529</v>
      </c>
      <c r="M20" s="30">
        <v>0</v>
      </c>
      <c r="N20" s="34">
        <v>0</v>
      </c>
      <c r="O20" s="39">
        <v>5.01</v>
      </c>
      <c r="P20" s="39">
        <v>5.01</v>
      </c>
      <c r="Q20" s="15" t="e">
        <f t="shared" si="1"/>
        <v>#DIV/0!</v>
      </c>
      <c r="R20" s="15">
        <f t="shared" si="2"/>
        <v>24758.68263473054</v>
      </c>
      <c r="S20" s="44">
        <f t="shared" si="3"/>
        <v>0.56838114404799223</v>
      </c>
      <c r="T20" s="39">
        <v>0</v>
      </c>
      <c r="U20" s="5" t="s">
        <v>34</v>
      </c>
      <c r="V20" t="s">
        <v>205</v>
      </c>
      <c r="X20" t="s">
        <v>36</v>
      </c>
      <c r="Y20">
        <v>0</v>
      </c>
      <c r="Z20">
        <v>1</v>
      </c>
      <c r="AA20" s="7">
        <v>45265</v>
      </c>
      <c r="AC20" s="6" t="s">
        <v>38</v>
      </c>
    </row>
    <row r="21" spans="1:29" x14ac:dyDescent="0.25">
      <c r="A21" t="s">
        <v>209</v>
      </c>
      <c r="B21" t="s">
        <v>210</v>
      </c>
      <c r="C21" s="25">
        <v>44718</v>
      </c>
      <c r="D21" s="15">
        <v>31000</v>
      </c>
      <c r="E21" t="s">
        <v>32</v>
      </c>
      <c r="F21" t="s">
        <v>33</v>
      </c>
      <c r="G21" s="15">
        <v>31000</v>
      </c>
      <c r="H21" s="15">
        <v>8800</v>
      </c>
      <c r="I21" s="20">
        <f t="shared" si="0"/>
        <v>28.387096774193548</v>
      </c>
      <c r="J21" s="15">
        <v>27816</v>
      </c>
      <c r="K21" s="15">
        <f>G21-0</f>
        <v>31000</v>
      </c>
      <c r="L21" s="15">
        <v>27816</v>
      </c>
      <c r="M21" s="30">
        <v>0</v>
      </c>
      <c r="N21" s="34">
        <v>0</v>
      </c>
      <c r="O21" s="39">
        <v>5.1100000000000003</v>
      </c>
      <c r="P21" s="39">
        <v>5.1100000000000003</v>
      </c>
      <c r="Q21" s="15" t="e">
        <f t="shared" si="1"/>
        <v>#DIV/0!</v>
      </c>
      <c r="R21" s="15">
        <f t="shared" si="2"/>
        <v>6066.5362035225044</v>
      </c>
      <c r="S21" s="44">
        <f t="shared" si="3"/>
        <v>0.13926850788619155</v>
      </c>
      <c r="T21" s="39">
        <v>0</v>
      </c>
      <c r="U21" s="5" t="s">
        <v>34</v>
      </c>
      <c r="V21" t="s">
        <v>211</v>
      </c>
      <c r="X21" t="s">
        <v>36</v>
      </c>
      <c r="Y21">
        <v>0</v>
      </c>
      <c r="Z21">
        <v>1</v>
      </c>
      <c r="AA21" t="s">
        <v>37</v>
      </c>
      <c r="AC21" s="6" t="s">
        <v>38</v>
      </c>
    </row>
    <row r="22" spans="1:29" x14ac:dyDescent="0.25">
      <c r="A22" t="s">
        <v>152</v>
      </c>
      <c r="B22" t="s">
        <v>153</v>
      </c>
      <c r="C22" s="25">
        <v>45212</v>
      </c>
      <c r="D22" s="15">
        <v>433000</v>
      </c>
      <c r="E22" t="s">
        <v>32</v>
      </c>
      <c r="F22" t="s">
        <v>33</v>
      </c>
      <c r="G22" s="15">
        <v>433000</v>
      </c>
      <c r="H22" s="15">
        <v>177200</v>
      </c>
      <c r="I22" s="20">
        <f t="shared" si="0"/>
        <v>40.92378752886836</v>
      </c>
      <c r="J22" s="15">
        <v>414705</v>
      </c>
      <c r="K22" s="15">
        <f>G22-375455</f>
        <v>57545</v>
      </c>
      <c r="L22" s="15">
        <v>39250</v>
      </c>
      <c r="M22" s="30">
        <v>0</v>
      </c>
      <c r="N22" s="34">
        <v>0</v>
      </c>
      <c r="O22" s="39">
        <v>7.6210000000000004</v>
      </c>
      <c r="P22" s="39">
        <v>7.6210000000000004</v>
      </c>
      <c r="Q22" s="15" t="e">
        <f t="shared" si="1"/>
        <v>#DIV/0!</v>
      </c>
      <c r="R22" s="15">
        <f t="shared" si="2"/>
        <v>7550.8463456239333</v>
      </c>
      <c r="S22" s="44">
        <f t="shared" si="3"/>
        <v>0.17334358001891489</v>
      </c>
      <c r="T22" s="39">
        <v>0</v>
      </c>
      <c r="U22" s="5" t="s">
        <v>34</v>
      </c>
      <c r="V22" t="s">
        <v>154</v>
      </c>
      <c r="X22" t="s">
        <v>36</v>
      </c>
      <c r="Y22">
        <v>0</v>
      </c>
      <c r="Z22">
        <v>0</v>
      </c>
      <c r="AA22" t="s">
        <v>37</v>
      </c>
      <c r="AC22" s="6" t="s">
        <v>38</v>
      </c>
    </row>
    <row r="23" spans="1:29" x14ac:dyDescent="0.25">
      <c r="A23" t="s">
        <v>223</v>
      </c>
      <c r="B23" t="s">
        <v>224</v>
      </c>
      <c r="C23" s="25">
        <v>44781</v>
      </c>
      <c r="D23" s="15">
        <v>201500</v>
      </c>
      <c r="E23" t="s">
        <v>32</v>
      </c>
      <c r="F23" t="s">
        <v>33</v>
      </c>
      <c r="G23" s="15">
        <v>201500</v>
      </c>
      <c r="H23" s="15">
        <v>62600</v>
      </c>
      <c r="I23" s="20">
        <f t="shared" si="0"/>
        <v>31.066997518610425</v>
      </c>
      <c r="J23" s="15">
        <v>171215</v>
      </c>
      <c r="K23" s="15">
        <f>G23-131228</f>
        <v>70272</v>
      </c>
      <c r="L23" s="15">
        <v>39987</v>
      </c>
      <c r="M23" s="30">
        <v>0</v>
      </c>
      <c r="N23" s="34">
        <v>0</v>
      </c>
      <c r="O23" s="39">
        <v>8.7200000000000006</v>
      </c>
      <c r="P23" s="39">
        <v>8.7200000000000006</v>
      </c>
      <c r="Q23" s="15" t="e">
        <f t="shared" si="1"/>
        <v>#DIV/0!</v>
      </c>
      <c r="R23" s="15">
        <f t="shared" si="2"/>
        <v>8058.7155963302748</v>
      </c>
      <c r="S23" s="44">
        <f t="shared" si="3"/>
        <v>0.18500265372659033</v>
      </c>
      <c r="T23" s="39">
        <v>0</v>
      </c>
      <c r="U23" s="5" t="s">
        <v>34</v>
      </c>
      <c r="V23" t="s">
        <v>225</v>
      </c>
      <c r="X23" t="s">
        <v>36</v>
      </c>
      <c r="Y23">
        <v>0</v>
      </c>
      <c r="Z23">
        <v>1</v>
      </c>
      <c r="AA23" t="s">
        <v>37</v>
      </c>
      <c r="AC23" s="6" t="s">
        <v>38</v>
      </c>
    </row>
    <row r="24" spans="1:29" x14ac:dyDescent="0.25">
      <c r="A24" t="s">
        <v>53</v>
      </c>
      <c r="B24" t="s">
        <v>54</v>
      </c>
      <c r="C24" s="25">
        <v>45259</v>
      </c>
      <c r="D24" s="15">
        <v>130000</v>
      </c>
      <c r="E24" t="s">
        <v>32</v>
      </c>
      <c r="F24" t="s">
        <v>33</v>
      </c>
      <c r="G24" s="15">
        <v>130000</v>
      </c>
      <c r="H24" s="15">
        <v>45000</v>
      </c>
      <c r="I24" s="20">
        <f t="shared" si="0"/>
        <v>34.615384615384613</v>
      </c>
      <c r="J24" s="15">
        <v>113348</v>
      </c>
      <c r="K24" s="15">
        <f>G24-68348</f>
        <v>61652</v>
      </c>
      <c r="L24" s="15">
        <v>45000</v>
      </c>
      <c r="M24" s="30">
        <v>0</v>
      </c>
      <c r="N24" s="34">
        <v>0</v>
      </c>
      <c r="O24" s="39">
        <v>10</v>
      </c>
      <c r="P24" s="39">
        <v>10</v>
      </c>
      <c r="Q24" s="15" t="e">
        <f t="shared" si="1"/>
        <v>#DIV/0!</v>
      </c>
      <c r="R24" s="15">
        <f t="shared" si="2"/>
        <v>6165.2</v>
      </c>
      <c r="S24" s="44">
        <f t="shared" si="3"/>
        <v>0.14153351698806244</v>
      </c>
      <c r="T24" s="39">
        <v>0</v>
      </c>
      <c r="U24" s="5" t="s">
        <v>34</v>
      </c>
      <c r="V24" t="s">
        <v>55</v>
      </c>
      <c r="X24" t="s">
        <v>36</v>
      </c>
      <c r="Y24">
        <v>0</v>
      </c>
      <c r="Z24">
        <v>0</v>
      </c>
      <c r="AA24" s="7">
        <v>44685</v>
      </c>
      <c r="AC24" s="6" t="s">
        <v>38</v>
      </c>
    </row>
    <row r="25" spans="1:29" x14ac:dyDescent="0.25">
      <c r="A25" t="s">
        <v>178</v>
      </c>
      <c r="B25" t="s">
        <v>179</v>
      </c>
      <c r="C25" s="25">
        <v>45250</v>
      </c>
      <c r="D25" s="15">
        <v>43000</v>
      </c>
      <c r="E25" t="s">
        <v>32</v>
      </c>
      <c r="F25" t="s">
        <v>33</v>
      </c>
      <c r="G25" s="15">
        <v>43000</v>
      </c>
      <c r="H25" s="15">
        <v>22400</v>
      </c>
      <c r="I25" s="20">
        <f t="shared" si="0"/>
        <v>52.093023255813954</v>
      </c>
      <c r="J25" s="15">
        <v>59469</v>
      </c>
      <c r="K25" s="15">
        <f>G25-24594</f>
        <v>18406</v>
      </c>
      <c r="L25" s="15">
        <v>34875</v>
      </c>
      <c r="M25" s="30">
        <v>0</v>
      </c>
      <c r="N25" s="34">
        <v>0</v>
      </c>
      <c r="O25" s="39">
        <v>10.4</v>
      </c>
      <c r="P25" s="39">
        <v>10.4</v>
      </c>
      <c r="Q25" s="15" t="e">
        <f t="shared" si="1"/>
        <v>#DIV/0!</v>
      </c>
      <c r="R25" s="15">
        <f t="shared" si="2"/>
        <v>1769.8076923076922</v>
      </c>
      <c r="S25" s="44">
        <f t="shared" si="3"/>
        <v>4.0629194038284945E-2</v>
      </c>
      <c r="T25" s="39">
        <v>0</v>
      </c>
      <c r="U25" s="5" t="s">
        <v>34</v>
      </c>
      <c r="V25" t="s">
        <v>180</v>
      </c>
      <c r="X25" t="s">
        <v>36</v>
      </c>
      <c r="Y25">
        <v>0</v>
      </c>
      <c r="Z25">
        <v>0</v>
      </c>
      <c r="AA25" t="s">
        <v>37</v>
      </c>
      <c r="AC25" s="6" t="s">
        <v>38</v>
      </c>
    </row>
    <row r="26" spans="1:29" x14ac:dyDescent="0.25">
      <c r="A26" t="s">
        <v>195</v>
      </c>
      <c r="B26" t="s">
        <v>196</v>
      </c>
      <c r="C26" s="25">
        <v>45275</v>
      </c>
      <c r="D26" s="15">
        <v>70000</v>
      </c>
      <c r="E26" t="s">
        <v>32</v>
      </c>
      <c r="F26" t="s">
        <v>33</v>
      </c>
      <c r="G26" s="15">
        <v>70000</v>
      </c>
      <c r="H26" s="15">
        <v>30100</v>
      </c>
      <c r="I26" s="20">
        <f t="shared" si="0"/>
        <v>43</v>
      </c>
      <c r="J26" s="15">
        <v>82766</v>
      </c>
      <c r="K26" s="15">
        <f>G26-25016</f>
        <v>44984</v>
      </c>
      <c r="L26" s="15">
        <v>57750</v>
      </c>
      <c r="M26" s="30">
        <v>0</v>
      </c>
      <c r="N26" s="34">
        <v>0</v>
      </c>
      <c r="O26" s="39">
        <v>13.4</v>
      </c>
      <c r="P26" s="39">
        <v>13.4</v>
      </c>
      <c r="Q26" s="15" t="e">
        <f t="shared" si="1"/>
        <v>#DIV/0!</v>
      </c>
      <c r="R26" s="15">
        <f t="shared" si="2"/>
        <v>3357.0149253731342</v>
      </c>
      <c r="S26" s="44">
        <f t="shared" si="3"/>
        <v>7.7066458341899319E-2</v>
      </c>
      <c r="T26" s="39">
        <v>0</v>
      </c>
      <c r="U26" s="5" t="s">
        <v>34</v>
      </c>
      <c r="V26" t="s">
        <v>197</v>
      </c>
      <c r="X26" t="s">
        <v>36</v>
      </c>
      <c r="Y26">
        <v>0</v>
      </c>
      <c r="Z26">
        <v>0</v>
      </c>
      <c r="AA26" s="7">
        <v>44946</v>
      </c>
      <c r="AC26" s="6" t="s">
        <v>40</v>
      </c>
    </row>
    <row r="27" spans="1:29" x14ac:dyDescent="0.25">
      <c r="A27" t="s">
        <v>30</v>
      </c>
      <c r="B27" t="s">
        <v>31</v>
      </c>
      <c r="C27" s="25">
        <v>44665</v>
      </c>
      <c r="D27" s="15">
        <v>35000</v>
      </c>
      <c r="E27" t="s">
        <v>32</v>
      </c>
      <c r="F27" t="s">
        <v>33</v>
      </c>
      <c r="G27" s="15">
        <v>35000</v>
      </c>
      <c r="H27" s="15">
        <v>20700</v>
      </c>
      <c r="I27" s="20">
        <f t="shared" si="0"/>
        <v>59.142857142857139</v>
      </c>
      <c r="J27" s="15">
        <v>62888</v>
      </c>
      <c r="K27" s="15">
        <f>G27-0</f>
        <v>35000</v>
      </c>
      <c r="L27" s="15">
        <v>62888</v>
      </c>
      <c r="M27" s="30">
        <v>0</v>
      </c>
      <c r="N27" s="34">
        <v>0</v>
      </c>
      <c r="O27" s="39">
        <v>14.77</v>
      </c>
      <c r="P27" s="39">
        <v>14.77</v>
      </c>
      <c r="Q27" s="15" t="e">
        <f t="shared" si="1"/>
        <v>#DIV/0!</v>
      </c>
      <c r="R27" s="15">
        <f t="shared" si="2"/>
        <v>2369.6682464454975</v>
      </c>
      <c r="S27" s="44">
        <f t="shared" si="3"/>
        <v>5.4400097484974694E-2</v>
      </c>
      <c r="T27" s="39">
        <v>0</v>
      </c>
      <c r="U27" s="5" t="s">
        <v>34</v>
      </c>
      <c r="V27" t="s">
        <v>35</v>
      </c>
      <c r="X27" t="s">
        <v>36</v>
      </c>
      <c r="Y27">
        <v>0</v>
      </c>
      <c r="Z27">
        <v>0</v>
      </c>
      <c r="AA27" t="s">
        <v>37</v>
      </c>
      <c r="AC27" s="6" t="s">
        <v>38</v>
      </c>
    </row>
    <row r="28" spans="1:29" x14ac:dyDescent="0.25">
      <c r="A28" t="s">
        <v>143</v>
      </c>
      <c r="B28" t="s">
        <v>144</v>
      </c>
      <c r="C28" s="25">
        <v>44879</v>
      </c>
      <c r="D28" s="15">
        <v>240000</v>
      </c>
      <c r="E28" t="s">
        <v>32</v>
      </c>
      <c r="F28" t="s">
        <v>33</v>
      </c>
      <c r="G28" s="15">
        <v>240000</v>
      </c>
      <c r="H28" s="15">
        <v>90700</v>
      </c>
      <c r="I28" s="20">
        <f t="shared" si="0"/>
        <v>37.791666666666671</v>
      </c>
      <c r="J28" s="15">
        <v>245823</v>
      </c>
      <c r="K28" s="15">
        <f>G28-165823</f>
        <v>74177</v>
      </c>
      <c r="L28" s="15">
        <v>80000</v>
      </c>
      <c r="M28" s="30">
        <v>0</v>
      </c>
      <c r="N28" s="34">
        <v>0</v>
      </c>
      <c r="O28" s="39">
        <v>20</v>
      </c>
      <c r="P28" s="39">
        <v>20</v>
      </c>
      <c r="Q28" s="15" t="e">
        <f t="shared" si="1"/>
        <v>#DIV/0!</v>
      </c>
      <c r="R28" s="15">
        <f t="shared" si="2"/>
        <v>3708.85</v>
      </c>
      <c r="S28" s="44">
        <f t="shared" si="3"/>
        <v>8.5143480257116613E-2</v>
      </c>
      <c r="T28" s="39">
        <v>0</v>
      </c>
      <c r="U28" s="5" t="s">
        <v>34</v>
      </c>
      <c r="V28" t="s">
        <v>145</v>
      </c>
      <c r="X28" t="s">
        <v>36</v>
      </c>
      <c r="Y28">
        <v>0</v>
      </c>
      <c r="Z28">
        <v>1</v>
      </c>
      <c r="AA28" t="s">
        <v>37</v>
      </c>
      <c r="AC28" s="6" t="s">
        <v>38</v>
      </c>
    </row>
    <row r="29" spans="1:29" x14ac:dyDescent="0.25">
      <c r="A29" t="s">
        <v>105</v>
      </c>
      <c r="B29" t="s">
        <v>106</v>
      </c>
      <c r="C29" s="25">
        <v>45187</v>
      </c>
      <c r="D29" s="15">
        <v>225000</v>
      </c>
      <c r="E29" t="s">
        <v>32</v>
      </c>
      <c r="F29" t="s">
        <v>33</v>
      </c>
      <c r="G29" s="15">
        <v>225000</v>
      </c>
      <c r="H29" s="15">
        <v>47900</v>
      </c>
      <c r="I29" s="20">
        <f t="shared" si="0"/>
        <v>21.288888888888888</v>
      </c>
      <c r="J29" s="15">
        <v>130912</v>
      </c>
      <c r="K29" s="15">
        <f>G29-40837</f>
        <v>184163</v>
      </c>
      <c r="L29" s="15">
        <v>90075</v>
      </c>
      <c r="M29" s="30">
        <v>0</v>
      </c>
      <c r="N29" s="34">
        <v>0</v>
      </c>
      <c r="O29" s="39">
        <v>20.02</v>
      </c>
      <c r="P29" s="39">
        <v>10.01</v>
      </c>
      <c r="Q29" s="15" t="e">
        <f t="shared" si="1"/>
        <v>#DIV/0!</v>
      </c>
      <c r="R29" s="15">
        <f t="shared" si="2"/>
        <v>9198.9510489510485</v>
      </c>
      <c r="S29" s="44">
        <f t="shared" si="3"/>
        <v>0.21117885787307275</v>
      </c>
      <c r="T29" s="39">
        <v>0</v>
      </c>
      <c r="U29" s="5" t="s">
        <v>34</v>
      </c>
      <c r="V29" t="s">
        <v>107</v>
      </c>
      <c r="W29" t="s">
        <v>108</v>
      </c>
      <c r="X29" t="s">
        <v>36</v>
      </c>
      <c r="Y29">
        <v>0</v>
      </c>
      <c r="Z29">
        <v>0</v>
      </c>
      <c r="AA29" s="7">
        <v>42661</v>
      </c>
      <c r="AC29" s="6" t="s">
        <v>38</v>
      </c>
    </row>
    <row r="30" spans="1:29" x14ac:dyDescent="0.25">
      <c r="A30" t="s">
        <v>108</v>
      </c>
      <c r="B30" t="s">
        <v>109</v>
      </c>
      <c r="C30" s="25">
        <v>45187</v>
      </c>
      <c r="D30" s="15">
        <v>225000</v>
      </c>
      <c r="E30" t="s">
        <v>32</v>
      </c>
      <c r="F30" t="s">
        <v>33</v>
      </c>
      <c r="G30" s="15">
        <v>225000</v>
      </c>
      <c r="H30" s="15">
        <v>47900</v>
      </c>
      <c r="I30" s="20">
        <f t="shared" si="0"/>
        <v>21.288888888888888</v>
      </c>
      <c r="J30" s="15">
        <v>130912</v>
      </c>
      <c r="K30" s="15">
        <f>G30-40837</f>
        <v>184163</v>
      </c>
      <c r="L30" s="15">
        <v>90075</v>
      </c>
      <c r="M30" s="30">
        <v>0</v>
      </c>
      <c r="N30" s="34">
        <v>0</v>
      </c>
      <c r="O30" s="39">
        <v>20.02</v>
      </c>
      <c r="P30" s="39">
        <v>10.01</v>
      </c>
      <c r="Q30" s="15" t="e">
        <f t="shared" si="1"/>
        <v>#DIV/0!</v>
      </c>
      <c r="R30" s="15">
        <f t="shared" si="2"/>
        <v>9198.9510489510485</v>
      </c>
      <c r="S30" s="44">
        <f t="shared" si="3"/>
        <v>0.21117885787307275</v>
      </c>
      <c r="T30" s="39">
        <v>0</v>
      </c>
      <c r="U30" s="5" t="s">
        <v>34</v>
      </c>
      <c r="V30" t="s">
        <v>107</v>
      </c>
      <c r="W30" t="s">
        <v>105</v>
      </c>
      <c r="X30" t="s">
        <v>36</v>
      </c>
      <c r="Y30">
        <v>0</v>
      </c>
      <c r="Z30">
        <v>0</v>
      </c>
      <c r="AA30" t="s">
        <v>37</v>
      </c>
      <c r="AC30" s="6" t="s">
        <v>38</v>
      </c>
    </row>
    <row r="31" spans="1:29" x14ac:dyDescent="0.25">
      <c r="A31" t="s">
        <v>88</v>
      </c>
      <c r="B31" t="s">
        <v>89</v>
      </c>
      <c r="C31" s="25">
        <v>45383</v>
      </c>
      <c r="D31" s="15">
        <v>172500</v>
      </c>
      <c r="E31" t="s">
        <v>32</v>
      </c>
      <c r="F31" t="s">
        <v>33</v>
      </c>
      <c r="G31" s="15">
        <v>172500</v>
      </c>
      <c r="H31" s="15">
        <v>42000</v>
      </c>
      <c r="I31" s="20">
        <f t="shared" si="0"/>
        <v>24.347826086956523</v>
      </c>
      <c r="J31" s="15">
        <v>83945</v>
      </c>
      <c r="K31" s="15">
        <f>G31-0</f>
        <v>172500</v>
      </c>
      <c r="L31" s="15">
        <v>83945</v>
      </c>
      <c r="M31" s="30">
        <v>0</v>
      </c>
      <c r="N31" s="34">
        <v>0</v>
      </c>
      <c r="O31" s="39">
        <v>28.72</v>
      </c>
      <c r="P31" s="39">
        <v>8.6999999999999993</v>
      </c>
      <c r="Q31" s="15" t="e">
        <f t="shared" si="1"/>
        <v>#DIV/0!</v>
      </c>
      <c r="R31" s="15">
        <f t="shared" si="2"/>
        <v>6006.2674094707527</v>
      </c>
      <c r="S31" s="44">
        <f t="shared" si="3"/>
        <v>0.13788492675552691</v>
      </c>
      <c r="T31" s="39">
        <v>0</v>
      </c>
      <c r="U31" s="5" t="s">
        <v>34</v>
      </c>
      <c r="V31" t="s">
        <v>90</v>
      </c>
      <c r="W31" t="s">
        <v>91</v>
      </c>
      <c r="X31" t="s">
        <v>36</v>
      </c>
      <c r="Y31">
        <v>0</v>
      </c>
      <c r="Z31">
        <v>0</v>
      </c>
      <c r="AA31" t="s">
        <v>37</v>
      </c>
      <c r="AC31" s="6" t="s">
        <v>38</v>
      </c>
    </row>
    <row r="32" spans="1:29" x14ac:dyDescent="0.25">
      <c r="A32" t="s">
        <v>92</v>
      </c>
      <c r="B32" t="s">
        <v>93</v>
      </c>
      <c r="C32" s="25">
        <v>45383</v>
      </c>
      <c r="D32" s="15">
        <v>172500</v>
      </c>
      <c r="E32" t="s">
        <v>32</v>
      </c>
      <c r="F32" t="s">
        <v>33</v>
      </c>
      <c r="G32" s="15">
        <v>172500</v>
      </c>
      <c r="H32" s="15">
        <v>42000</v>
      </c>
      <c r="I32" s="20">
        <f t="shared" si="0"/>
        <v>24.347826086956523</v>
      </c>
      <c r="J32" s="15">
        <v>83945</v>
      </c>
      <c r="K32" s="15">
        <f>G32-0</f>
        <v>172500</v>
      </c>
      <c r="L32" s="15">
        <v>83945</v>
      </c>
      <c r="M32" s="30">
        <v>0</v>
      </c>
      <c r="N32" s="34">
        <v>0</v>
      </c>
      <c r="O32" s="39">
        <v>28.72</v>
      </c>
      <c r="P32" s="39">
        <v>10.01</v>
      </c>
      <c r="Q32" s="15" t="e">
        <f t="shared" si="1"/>
        <v>#DIV/0!</v>
      </c>
      <c r="R32" s="15">
        <f t="shared" si="2"/>
        <v>6006.2674094707527</v>
      </c>
      <c r="S32" s="44">
        <f t="shared" si="3"/>
        <v>0.13788492675552691</v>
      </c>
      <c r="T32" s="39">
        <v>0</v>
      </c>
      <c r="U32" s="5" t="s">
        <v>34</v>
      </c>
      <c r="V32" t="s">
        <v>90</v>
      </c>
      <c r="W32" t="s">
        <v>94</v>
      </c>
      <c r="X32" t="s">
        <v>36</v>
      </c>
      <c r="Y32">
        <v>0</v>
      </c>
      <c r="Z32">
        <v>0</v>
      </c>
      <c r="AA32" t="s">
        <v>37</v>
      </c>
      <c r="AC32" s="6" t="s">
        <v>38</v>
      </c>
    </row>
    <row r="33" spans="1:30" x14ac:dyDescent="0.25">
      <c r="A33" t="s">
        <v>95</v>
      </c>
      <c r="B33" t="s">
        <v>96</v>
      </c>
      <c r="C33" s="25">
        <v>45383</v>
      </c>
      <c r="D33" s="15">
        <v>172500</v>
      </c>
      <c r="E33" t="s">
        <v>32</v>
      </c>
      <c r="F33" t="s">
        <v>33</v>
      </c>
      <c r="G33" s="15">
        <v>172500</v>
      </c>
      <c r="H33" s="15">
        <v>42000</v>
      </c>
      <c r="I33" s="20">
        <f t="shared" si="0"/>
        <v>24.347826086956523</v>
      </c>
      <c r="J33" s="15">
        <v>83945</v>
      </c>
      <c r="K33" s="15">
        <f>G33-0</f>
        <v>172500</v>
      </c>
      <c r="L33" s="15">
        <v>83945</v>
      </c>
      <c r="M33" s="30">
        <v>0</v>
      </c>
      <c r="N33" s="34">
        <v>0</v>
      </c>
      <c r="O33" s="39">
        <v>28.72</v>
      </c>
      <c r="P33" s="39">
        <v>10.01</v>
      </c>
      <c r="Q33" s="15" t="e">
        <f t="shared" si="1"/>
        <v>#DIV/0!</v>
      </c>
      <c r="R33" s="15">
        <f t="shared" si="2"/>
        <v>6006.2674094707527</v>
      </c>
      <c r="S33" s="44">
        <f t="shared" si="3"/>
        <v>0.13788492675552691</v>
      </c>
      <c r="T33" s="39">
        <v>0</v>
      </c>
      <c r="U33" s="5" t="s">
        <v>34</v>
      </c>
      <c r="V33" t="s">
        <v>90</v>
      </c>
      <c r="W33" t="s">
        <v>97</v>
      </c>
      <c r="X33" t="s">
        <v>36</v>
      </c>
      <c r="Y33">
        <v>0</v>
      </c>
      <c r="Z33">
        <v>0</v>
      </c>
      <c r="AA33" t="s">
        <v>37</v>
      </c>
      <c r="AC33" s="6" t="s">
        <v>38</v>
      </c>
    </row>
    <row r="34" spans="1:30" x14ac:dyDescent="0.25">
      <c r="A34" t="s">
        <v>44</v>
      </c>
      <c r="B34" t="s">
        <v>45</v>
      </c>
      <c r="C34" s="25">
        <v>44796</v>
      </c>
      <c r="D34" s="15">
        <v>357500</v>
      </c>
      <c r="E34" t="s">
        <v>32</v>
      </c>
      <c r="F34" t="s">
        <v>33</v>
      </c>
      <c r="G34" s="15">
        <v>357500</v>
      </c>
      <c r="H34" s="15">
        <v>130400</v>
      </c>
      <c r="I34" s="20">
        <f t="shared" si="0"/>
        <v>36.475524475524473</v>
      </c>
      <c r="J34" s="15">
        <v>361838</v>
      </c>
      <c r="K34" s="15">
        <f>G34-194798</f>
        <v>162702</v>
      </c>
      <c r="L34" s="15">
        <v>167040</v>
      </c>
      <c r="M34" s="30">
        <v>0</v>
      </c>
      <c r="N34" s="34">
        <v>0</v>
      </c>
      <c r="O34" s="39">
        <v>38.909999999999997</v>
      </c>
      <c r="P34" s="39">
        <v>5.13</v>
      </c>
      <c r="Q34" s="15" t="e">
        <f t="shared" si="1"/>
        <v>#DIV/0!</v>
      </c>
      <c r="R34" s="15">
        <f t="shared" si="2"/>
        <v>4181.4957594448733</v>
      </c>
      <c r="S34" s="44">
        <f t="shared" si="3"/>
        <v>9.5993933871553569E-2</v>
      </c>
      <c r="T34" s="39">
        <v>0</v>
      </c>
      <c r="U34" s="5" t="s">
        <v>34</v>
      </c>
      <c r="V34" t="s">
        <v>46</v>
      </c>
      <c r="W34" t="s">
        <v>47</v>
      </c>
      <c r="X34" t="s">
        <v>36</v>
      </c>
      <c r="Y34">
        <v>0</v>
      </c>
      <c r="Z34">
        <v>0</v>
      </c>
      <c r="AA34" s="7">
        <v>44946</v>
      </c>
      <c r="AC34" s="6" t="s">
        <v>38</v>
      </c>
    </row>
    <row r="35" spans="1:30" x14ac:dyDescent="0.25">
      <c r="A35" t="s">
        <v>48</v>
      </c>
      <c r="B35" t="s">
        <v>49</v>
      </c>
      <c r="C35" s="25">
        <v>44796</v>
      </c>
      <c r="D35" s="15">
        <v>357500</v>
      </c>
      <c r="E35" t="s">
        <v>32</v>
      </c>
      <c r="F35" t="s">
        <v>33</v>
      </c>
      <c r="G35" s="15">
        <v>357500</v>
      </c>
      <c r="H35" s="15">
        <v>130400</v>
      </c>
      <c r="I35" s="20">
        <f t="shared" si="0"/>
        <v>36.475524475524473</v>
      </c>
      <c r="J35" s="15">
        <v>361838</v>
      </c>
      <c r="K35" s="15">
        <f>G35-194798</f>
        <v>162702</v>
      </c>
      <c r="L35" s="15">
        <v>167040</v>
      </c>
      <c r="M35" s="30">
        <v>0</v>
      </c>
      <c r="N35" s="34">
        <v>0</v>
      </c>
      <c r="O35" s="39">
        <v>38.909999999999997</v>
      </c>
      <c r="P35" s="39">
        <v>20.010000000000002</v>
      </c>
      <c r="Q35" s="15" t="e">
        <f t="shared" si="1"/>
        <v>#DIV/0!</v>
      </c>
      <c r="R35" s="15">
        <f t="shared" si="2"/>
        <v>4181.4957594448733</v>
      </c>
      <c r="S35" s="44">
        <f t="shared" si="3"/>
        <v>9.5993933871553569E-2</v>
      </c>
      <c r="T35" s="39">
        <v>0</v>
      </c>
      <c r="U35" s="5" t="s">
        <v>34</v>
      </c>
      <c r="V35" t="s">
        <v>46</v>
      </c>
      <c r="W35" t="s">
        <v>50</v>
      </c>
      <c r="X35" t="s">
        <v>36</v>
      </c>
      <c r="Y35">
        <v>0</v>
      </c>
      <c r="Z35">
        <v>0</v>
      </c>
      <c r="AA35" s="7">
        <v>44685</v>
      </c>
      <c r="AC35" s="6" t="s">
        <v>38</v>
      </c>
    </row>
    <row r="36" spans="1:30" x14ac:dyDescent="0.25">
      <c r="A36" t="s">
        <v>51</v>
      </c>
      <c r="B36" t="s">
        <v>49</v>
      </c>
      <c r="C36" s="25">
        <v>44796</v>
      </c>
      <c r="D36" s="15">
        <v>357500</v>
      </c>
      <c r="E36" t="s">
        <v>32</v>
      </c>
      <c r="F36" t="s">
        <v>33</v>
      </c>
      <c r="G36" s="15">
        <v>357500</v>
      </c>
      <c r="H36" s="15">
        <v>130400</v>
      </c>
      <c r="I36" s="20">
        <f t="shared" si="0"/>
        <v>36.475524475524473</v>
      </c>
      <c r="J36" s="15">
        <v>361838</v>
      </c>
      <c r="K36" s="15">
        <f>G36-194798</f>
        <v>162702</v>
      </c>
      <c r="L36" s="15">
        <v>167040</v>
      </c>
      <c r="M36" s="30">
        <v>0</v>
      </c>
      <c r="N36" s="34">
        <v>0</v>
      </c>
      <c r="O36" s="39">
        <v>38.909999999999997</v>
      </c>
      <c r="P36" s="39">
        <v>13.77</v>
      </c>
      <c r="Q36" s="15" t="e">
        <f t="shared" si="1"/>
        <v>#DIV/0!</v>
      </c>
      <c r="R36" s="15">
        <f t="shared" si="2"/>
        <v>4181.4957594448733</v>
      </c>
      <c r="S36" s="44">
        <f t="shared" si="3"/>
        <v>9.5993933871553569E-2</v>
      </c>
      <c r="T36" s="39">
        <v>0</v>
      </c>
      <c r="U36" s="5" t="s">
        <v>34</v>
      </c>
      <c r="V36" t="s">
        <v>46</v>
      </c>
      <c r="W36" t="s">
        <v>52</v>
      </c>
      <c r="X36" t="s">
        <v>36</v>
      </c>
      <c r="Y36">
        <v>0</v>
      </c>
      <c r="Z36">
        <v>0</v>
      </c>
      <c r="AA36" s="7">
        <v>44685</v>
      </c>
      <c r="AC36" s="6" t="s">
        <v>38</v>
      </c>
    </row>
    <row r="37" spans="1:30" x14ac:dyDescent="0.25">
      <c r="A37" t="s">
        <v>190</v>
      </c>
      <c r="B37" t="s">
        <v>31</v>
      </c>
      <c r="C37" s="25">
        <v>45294</v>
      </c>
      <c r="D37" s="15">
        <v>200000</v>
      </c>
      <c r="E37" t="s">
        <v>32</v>
      </c>
      <c r="F37" t="s">
        <v>33</v>
      </c>
      <c r="G37" s="15">
        <v>200000</v>
      </c>
      <c r="H37" s="15">
        <v>55000</v>
      </c>
      <c r="I37" s="20">
        <f t="shared" si="0"/>
        <v>27.500000000000004</v>
      </c>
      <c r="J37" s="15">
        <v>130000</v>
      </c>
      <c r="K37" s="15">
        <f>G37-0</f>
        <v>200000</v>
      </c>
      <c r="L37" s="15">
        <v>130000</v>
      </c>
      <c r="M37" s="30">
        <v>0</v>
      </c>
      <c r="N37" s="34">
        <v>0</v>
      </c>
      <c r="O37" s="39">
        <v>40</v>
      </c>
      <c r="P37" s="39">
        <v>40</v>
      </c>
      <c r="Q37" s="15" t="e">
        <f t="shared" si="1"/>
        <v>#DIV/0!</v>
      </c>
      <c r="R37" s="15">
        <f t="shared" si="2"/>
        <v>5000</v>
      </c>
      <c r="S37" s="44">
        <f t="shared" si="3"/>
        <v>0.1147842056932966</v>
      </c>
      <c r="T37" s="39">
        <v>0</v>
      </c>
      <c r="U37" s="5" t="s">
        <v>34</v>
      </c>
      <c r="V37" t="s">
        <v>191</v>
      </c>
      <c r="X37" t="s">
        <v>36</v>
      </c>
      <c r="Y37">
        <v>0</v>
      </c>
      <c r="Z37">
        <v>0</v>
      </c>
      <c r="AA37" t="s">
        <v>37</v>
      </c>
      <c r="AC37" s="6" t="s">
        <v>173</v>
      </c>
    </row>
    <row r="38" spans="1:30" x14ac:dyDescent="0.25">
      <c r="A38" t="s">
        <v>79</v>
      </c>
      <c r="B38" t="s">
        <v>80</v>
      </c>
      <c r="C38" s="25">
        <v>44949</v>
      </c>
      <c r="D38" s="15">
        <v>279000</v>
      </c>
      <c r="E38" t="s">
        <v>32</v>
      </c>
      <c r="F38" t="s">
        <v>33</v>
      </c>
      <c r="G38" s="15">
        <v>279000</v>
      </c>
      <c r="H38" s="15">
        <v>61500</v>
      </c>
      <c r="I38" s="20">
        <f t="shared" si="0"/>
        <v>22.043010752688172</v>
      </c>
      <c r="J38" s="15">
        <v>141180</v>
      </c>
      <c r="K38" s="15">
        <f>G38-0</f>
        <v>279000</v>
      </c>
      <c r="L38" s="15">
        <v>141180</v>
      </c>
      <c r="M38" s="30">
        <v>0</v>
      </c>
      <c r="N38" s="34">
        <v>0</v>
      </c>
      <c r="O38" s="39">
        <v>45.59</v>
      </c>
      <c r="P38" s="39">
        <v>45.59</v>
      </c>
      <c r="Q38" s="15" t="e">
        <f t="shared" si="1"/>
        <v>#DIV/0!</v>
      </c>
      <c r="R38" s="15">
        <f t="shared" si="2"/>
        <v>6119.7631059442856</v>
      </c>
      <c r="S38" s="44">
        <f t="shared" si="3"/>
        <v>0.1404904294293913</v>
      </c>
      <c r="T38" s="39">
        <v>0</v>
      </c>
      <c r="U38" s="5" t="s">
        <v>34</v>
      </c>
      <c r="V38" t="s">
        <v>81</v>
      </c>
      <c r="X38" t="s">
        <v>36</v>
      </c>
      <c r="Y38">
        <v>0</v>
      </c>
      <c r="Z38">
        <v>0</v>
      </c>
      <c r="AA38" s="7">
        <v>44659</v>
      </c>
      <c r="AC38" s="6" t="s">
        <v>38</v>
      </c>
    </row>
    <row r="39" spans="1:30" x14ac:dyDescent="0.25">
      <c r="A39" t="s">
        <v>192</v>
      </c>
      <c r="B39" t="s">
        <v>193</v>
      </c>
      <c r="C39" s="25">
        <v>45322</v>
      </c>
      <c r="D39" s="15">
        <v>450000</v>
      </c>
      <c r="E39" t="s">
        <v>32</v>
      </c>
      <c r="F39" t="s">
        <v>33</v>
      </c>
      <c r="G39" s="15">
        <v>450000</v>
      </c>
      <c r="H39" s="15">
        <v>193700</v>
      </c>
      <c r="I39" s="20">
        <f t="shared" si="0"/>
        <v>43.044444444444444</v>
      </c>
      <c r="J39" s="15">
        <v>441986</v>
      </c>
      <c r="K39" s="15">
        <f>G39-276326</f>
        <v>173674</v>
      </c>
      <c r="L39" s="15">
        <v>165660</v>
      </c>
      <c r="M39" s="30">
        <v>0</v>
      </c>
      <c r="N39" s="34">
        <v>0</v>
      </c>
      <c r="O39" s="39">
        <v>50.24</v>
      </c>
      <c r="P39" s="39">
        <v>50.24</v>
      </c>
      <c r="Q39" s="15" t="e">
        <f t="shared" si="1"/>
        <v>#DIV/0!</v>
      </c>
      <c r="R39" s="15">
        <f t="shared" si="2"/>
        <v>3456.8869426751589</v>
      </c>
      <c r="S39" s="44">
        <f t="shared" si="3"/>
        <v>7.9359204377299333E-2</v>
      </c>
      <c r="T39" s="39">
        <v>0</v>
      </c>
      <c r="U39" s="5" t="s">
        <v>34</v>
      </c>
      <c r="V39" t="s">
        <v>194</v>
      </c>
      <c r="X39" t="s">
        <v>36</v>
      </c>
      <c r="Y39">
        <v>0</v>
      </c>
      <c r="Z39">
        <v>0</v>
      </c>
      <c r="AA39" t="s">
        <v>37</v>
      </c>
      <c r="AC39" s="6" t="s">
        <v>38</v>
      </c>
    </row>
    <row r="40" spans="1:30" x14ac:dyDescent="0.25">
      <c r="A40" t="s">
        <v>164</v>
      </c>
      <c r="B40" t="s">
        <v>165</v>
      </c>
      <c r="C40" s="25">
        <v>45343</v>
      </c>
      <c r="D40" s="15">
        <v>230000</v>
      </c>
      <c r="E40" t="s">
        <v>32</v>
      </c>
      <c r="F40" t="s">
        <v>33</v>
      </c>
      <c r="G40" s="15">
        <v>230000</v>
      </c>
      <c r="H40" s="15">
        <v>91500</v>
      </c>
      <c r="I40" s="20">
        <f t="shared" si="0"/>
        <v>39.782608695652172</v>
      </c>
      <c r="J40" s="15">
        <v>226638</v>
      </c>
      <c r="K40" s="15">
        <f>G40-32857</f>
        <v>197143</v>
      </c>
      <c r="L40" s="15">
        <v>193781</v>
      </c>
      <c r="M40" s="30">
        <v>0</v>
      </c>
      <c r="N40" s="34">
        <v>0</v>
      </c>
      <c r="O40" s="39">
        <v>50.734999999999999</v>
      </c>
      <c r="P40" s="39">
        <v>10</v>
      </c>
      <c r="Q40" s="15" t="e">
        <f t="shared" si="1"/>
        <v>#DIV/0!</v>
      </c>
      <c r="R40" s="15">
        <f t="shared" si="2"/>
        <v>3885.7396274761013</v>
      </c>
      <c r="S40" s="44">
        <f t="shared" si="3"/>
        <v>8.9204307334162111E-2</v>
      </c>
      <c r="T40" s="39">
        <v>0</v>
      </c>
      <c r="U40" s="5" t="s">
        <v>34</v>
      </c>
      <c r="V40" t="s">
        <v>166</v>
      </c>
      <c r="W40" t="s">
        <v>167</v>
      </c>
      <c r="X40" t="s">
        <v>36</v>
      </c>
      <c r="Y40">
        <v>0</v>
      </c>
      <c r="Z40">
        <v>0</v>
      </c>
      <c r="AA40" t="s">
        <v>37</v>
      </c>
      <c r="AC40" s="6" t="s">
        <v>38</v>
      </c>
    </row>
    <row r="41" spans="1:30" x14ac:dyDescent="0.25">
      <c r="A41" t="s">
        <v>168</v>
      </c>
      <c r="B41" t="s">
        <v>169</v>
      </c>
      <c r="C41" s="25">
        <v>45343</v>
      </c>
      <c r="D41" s="15">
        <v>230000</v>
      </c>
      <c r="E41" t="s">
        <v>32</v>
      </c>
      <c r="F41" t="s">
        <v>33</v>
      </c>
      <c r="G41" s="15">
        <v>230000</v>
      </c>
      <c r="H41" s="15">
        <v>91500</v>
      </c>
      <c r="I41" s="20">
        <f t="shared" si="0"/>
        <v>39.782608695652172</v>
      </c>
      <c r="J41" s="15">
        <v>226638</v>
      </c>
      <c r="K41" s="15">
        <f>G41-32857</f>
        <v>197143</v>
      </c>
      <c r="L41" s="15">
        <v>193781</v>
      </c>
      <c r="M41" s="30">
        <v>0</v>
      </c>
      <c r="N41" s="34">
        <v>0</v>
      </c>
      <c r="O41" s="39">
        <v>50.734999999999999</v>
      </c>
      <c r="P41" s="39">
        <v>10</v>
      </c>
      <c r="Q41" s="15" t="e">
        <f t="shared" si="1"/>
        <v>#DIV/0!</v>
      </c>
      <c r="R41" s="15">
        <f t="shared" si="2"/>
        <v>3885.7396274761013</v>
      </c>
      <c r="S41" s="44">
        <f t="shared" si="3"/>
        <v>8.9204307334162111E-2</v>
      </c>
      <c r="T41" s="39">
        <v>0</v>
      </c>
      <c r="U41" s="5" t="s">
        <v>34</v>
      </c>
      <c r="V41" t="s">
        <v>166</v>
      </c>
      <c r="W41" t="s">
        <v>170</v>
      </c>
      <c r="X41" t="s">
        <v>36</v>
      </c>
      <c r="Y41">
        <v>0</v>
      </c>
      <c r="Z41">
        <v>0</v>
      </c>
      <c r="AA41" t="s">
        <v>37</v>
      </c>
      <c r="AC41" s="6" t="s">
        <v>38</v>
      </c>
    </row>
    <row r="42" spans="1:30" ht="15.75" thickBot="1" x14ac:dyDescent="0.3">
      <c r="A42" t="s">
        <v>171</v>
      </c>
      <c r="B42" t="s">
        <v>66</v>
      </c>
      <c r="C42" s="25">
        <v>45343</v>
      </c>
      <c r="D42" s="15">
        <v>230000</v>
      </c>
      <c r="E42" t="s">
        <v>32</v>
      </c>
      <c r="F42" t="s">
        <v>33</v>
      </c>
      <c r="G42" s="15">
        <v>230000</v>
      </c>
      <c r="H42" s="15">
        <v>91500</v>
      </c>
      <c r="I42" s="20">
        <f t="shared" si="0"/>
        <v>39.782608695652172</v>
      </c>
      <c r="J42" s="15">
        <v>226638</v>
      </c>
      <c r="K42" s="15">
        <f>G42-32857</f>
        <v>197143</v>
      </c>
      <c r="L42" s="15">
        <v>193781</v>
      </c>
      <c r="M42" s="30">
        <v>0</v>
      </c>
      <c r="N42" s="34">
        <v>0</v>
      </c>
      <c r="O42" s="39">
        <v>50.734999999999999</v>
      </c>
      <c r="P42" s="39">
        <v>30.734999999999999</v>
      </c>
      <c r="Q42" s="15" t="e">
        <f t="shared" si="1"/>
        <v>#DIV/0!</v>
      </c>
      <c r="R42" s="15">
        <f t="shared" si="2"/>
        <v>3885.7396274761013</v>
      </c>
      <c r="S42" s="44">
        <f t="shared" si="3"/>
        <v>8.9204307334162111E-2</v>
      </c>
      <c r="T42" s="39">
        <v>0</v>
      </c>
      <c r="U42" s="5" t="s">
        <v>34</v>
      </c>
      <c r="V42" t="s">
        <v>166</v>
      </c>
      <c r="W42" t="s">
        <v>172</v>
      </c>
      <c r="X42" t="s">
        <v>36</v>
      </c>
      <c r="Y42">
        <v>0</v>
      </c>
      <c r="Z42">
        <v>0</v>
      </c>
      <c r="AA42" t="s">
        <v>37</v>
      </c>
      <c r="AC42" s="6" t="s">
        <v>173</v>
      </c>
    </row>
    <row r="43" spans="1:30" ht="15.75" thickTop="1" x14ac:dyDescent="0.25">
      <c r="A43" s="8"/>
      <c r="B43" s="8"/>
      <c r="C43" s="26" t="s">
        <v>229</v>
      </c>
      <c r="D43" s="16">
        <f>+SUM(D3:D42)</f>
        <v>7230450</v>
      </c>
      <c r="E43" s="8"/>
      <c r="F43" s="8"/>
      <c r="G43" s="16">
        <f>+SUM(G3:G42)</f>
        <v>7230450</v>
      </c>
      <c r="H43" s="16">
        <f>+SUM(H3:H42)</f>
        <v>2256700</v>
      </c>
      <c r="I43" s="21"/>
      <c r="J43" s="16">
        <f>+SUM(J3:J42)</f>
        <v>6150736</v>
      </c>
      <c r="K43" s="16">
        <f>+SUM(K3:K42)</f>
        <v>3753397</v>
      </c>
      <c r="L43" s="16">
        <f>+SUM(L3:L42)</f>
        <v>2672768</v>
      </c>
      <c r="M43" s="31">
        <f>+SUM(M3:M42)</f>
        <v>0</v>
      </c>
      <c r="N43" s="35"/>
      <c r="O43" s="40">
        <f>+SUM(O3:O42)</f>
        <v>672.70600000000002</v>
      </c>
      <c r="P43" s="40">
        <f>+SUM(P3:P42)</f>
        <v>414.64599999999996</v>
      </c>
      <c r="Q43" s="16"/>
      <c r="R43" s="16"/>
      <c r="S43" s="45"/>
      <c r="T43" s="40"/>
      <c r="U43" s="9"/>
      <c r="V43" s="8"/>
      <c r="W43" s="8"/>
      <c r="X43" s="8"/>
      <c r="Y43" s="8"/>
      <c r="Z43" s="8"/>
      <c r="AA43" s="8"/>
      <c r="AB43" s="8"/>
      <c r="AC43" s="8"/>
      <c r="AD43" s="8"/>
    </row>
    <row r="44" spans="1:30" x14ac:dyDescent="0.25">
      <c r="A44" s="10"/>
      <c r="B44" s="10"/>
      <c r="C44" s="27"/>
      <c r="D44" s="17"/>
      <c r="E44" s="10"/>
      <c r="F44" s="10"/>
      <c r="G44" s="17"/>
      <c r="H44" s="17" t="s">
        <v>230</v>
      </c>
      <c r="I44" s="22">
        <f>H43/G43*100</f>
        <v>31.211058786105983</v>
      </c>
      <c r="J44" s="17"/>
      <c r="K44" s="17"/>
      <c r="L44" s="17"/>
      <c r="M44" s="32"/>
      <c r="N44" s="36"/>
      <c r="O44" s="41" t="s">
        <v>231</v>
      </c>
      <c r="P44" s="41"/>
      <c r="Q44" s="17"/>
      <c r="R44" s="17"/>
      <c r="S44" s="46"/>
      <c r="T44" s="41"/>
      <c r="U44" s="11"/>
      <c r="V44" s="10"/>
      <c r="W44" s="10"/>
      <c r="X44" s="10"/>
      <c r="Y44" s="10"/>
      <c r="Z44" s="10"/>
      <c r="AA44" s="10"/>
      <c r="AB44" s="10"/>
      <c r="AC44" s="10"/>
      <c r="AD44" s="10"/>
    </row>
    <row r="45" spans="1:30" x14ac:dyDescent="0.25">
      <c r="A45" s="12"/>
      <c r="B45" s="12"/>
      <c r="C45" s="28"/>
      <c r="D45" s="18"/>
      <c r="E45" s="12"/>
      <c r="F45" s="12"/>
      <c r="G45" s="18"/>
      <c r="H45" s="18" t="s">
        <v>232</v>
      </c>
      <c r="I45" s="23">
        <f>STDEV(I3:I42)</f>
        <v>24.498822138384408</v>
      </c>
      <c r="J45" s="18"/>
      <c r="K45" s="18"/>
      <c r="L45" s="18"/>
      <c r="M45" s="48" t="e">
        <f>K43/M43</f>
        <v>#DIV/0!</v>
      </c>
      <c r="N45" s="37"/>
      <c r="O45" s="42" t="s">
        <v>234</v>
      </c>
      <c r="P45" s="42">
        <f>K43/O43</f>
        <v>5579.5503533490109</v>
      </c>
      <c r="Q45" s="18"/>
      <c r="R45" s="18"/>
      <c r="S45" s="47">
        <f>K43/O43/43560</f>
        <v>0.12808885108698373</v>
      </c>
      <c r="T45" s="42"/>
      <c r="U45" s="13"/>
      <c r="V45" s="12"/>
      <c r="W45" s="12"/>
      <c r="X45" s="12"/>
      <c r="Y45" s="12"/>
      <c r="Z45" s="12"/>
      <c r="AA45" s="12"/>
      <c r="AB45" s="12"/>
      <c r="AC45" s="12"/>
      <c r="AD45" s="12"/>
    </row>
    <row r="46" spans="1:30" x14ac:dyDescent="0.25">
      <c r="A46" s="10" t="s">
        <v>247</v>
      </c>
      <c r="B46" s="10"/>
      <c r="C46" s="27"/>
      <c r="D46" s="17"/>
      <c r="E46" s="10"/>
      <c r="F46" s="10"/>
      <c r="G46" s="17"/>
      <c r="H46" s="17"/>
      <c r="I46" s="22"/>
      <c r="J46" s="17"/>
      <c r="K46" s="17"/>
      <c r="L46" s="17"/>
      <c r="M46" s="63"/>
      <c r="N46" s="36"/>
      <c r="O46" s="41"/>
      <c r="P46" s="41"/>
      <c r="Q46" s="17"/>
      <c r="R46" s="17"/>
      <c r="S46" s="46"/>
      <c r="T46" s="41"/>
      <c r="U46" s="11"/>
      <c r="V46" s="10"/>
      <c r="W46" s="10"/>
      <c r="X46" s="10"/>
      <c r="Y46" s="10"/>
      <c r="Z46" s="10"/>
      <c r="AA46" s="10"/>
      <c r="AB46" s="10"/>
      <c r="AC46" s="10"/>
      <c r="AD46" s="10"/>
    </row>
    <row r="47" spans="1:30" x14ac:dyDescent="0.25">
      <c r="A47" s="64" t="s">
        <v>246</v>
      </c>
    </row>
    <row r="48" spans="1:30" x14ac:dyDescent="0.25">
      <c r="A48" s="394"/>
      <c r="B48" s="394"/>
      <c r="C48" s="394"/>
      <c r="D48" s="394"/>
      <c r="F48" s="59"/>
      <c r="G48" s="57"/>
      <c r="I48" s="58"/>
      <c r="K48" s="57"/>
    </row>
    <row r="49" spans="2:14" x14ac:dyDescent="0.25">
      <c r="B49" s="393" t="s">
        <v>236</v>
      </c>
      <c r="C49" s="393"/>
      <c r="D49" s="393"/>
      <c r="E49" s="393"/>
      <c r="F49" s="59"/>
      <c r="G49" s="49" t="s">
        <v>237</v>
      </c>
      <c r="H49" s="50" t="s">
        <v>238</v>
      </c>
      <c r="I49" s="49" t="s">
        <v>239</v>
      </c>
      <c r="J49" s="50" t="s">
        <v>240</v>
      </c>
      <c r="K49" s="49" t="s">
        <v>241</v>
      </c>
      <c r="L49" s="50" t="s">
        <v>242</v>
      </c>
      <c r="M49" s="49" t="s">
        <v>243</v>
      </c>
      <c r="N49" s="50" t="s">
        <v>244</v>
      </c>
    </row>
    <row r="50" spans="2:14" x14ac:dyDescent="0.25">
      <c r="F50" s="59"/>
      <c r="G50" s="49">
        <v>1</v>
      </c>
      <c r="H50" s="50">
        <v>9000</v>
      </c>
      <c r="I50" s="49">
        <v>3</v>
      </c>
      <c r="J50" s="50">
        <v>21000</v>
      </c>
      <c r="K50" s="49">
        <v>10</v>
      </c>
      <c r="L50" s="50">
        <v>45000</v>
      </c>
      <c r="M50" s="49">
        <v>30</v>
      </c>
      <c r="N50" s="50">
        <v>105000</v>
      </c>
    </row>
    <row r="51" spans="2:14" x14ac:dyDescent="0.25">
      <c r="F51" s="59"/>
      <c r="G51" s="49">
        <v>1.5</v>
      </c>
      <c r="H51" s="50">
        <v>12750</v>
      </c>
      <c r="I51" s="49">
        <v>4</v>
      </c>
      <c r="J51" s="50">
        <v>26000</v>
      </c>
      <c r="K51" s="49">
        <v>15</v>
      </c>
      <c r="L51" s="50">
        <v>63750</v>
      </c>
      <c r="M51" s="54">
        <v>40</v>
      </c>
      <c r="N51" s="55">
        <v>130000</v>
      </c>
    </row>
    <row r="52" spans="2:14" x14ac:dyDescent="0.25">
      <c r="F52" s="59"/>
      <c r="G52" s="54">
        <v>2</v>
      </c>
      <c r="H52" s="55">
        <v>16000</v>
      </c>
      <c r="I52" s="54">
        <v>5</v>
      </c>
      <c r="J52" s="55">
        <v>27500</v>
      </c>
      <c r="K52" s="54">
        <v>20</v>
      </c>
      <c r="L52" s="55">
        <v>80000</v>
      </c>
      <c r="M52" s="49">
        <v>50</v>
      </c>
      <c r="N52" s="50">
        <v>150000</v>
      </c>
    </row>
    <row r="53" spans="2:14" x14ac:dyDescent="0.25">
      <c r="G53" s="49">
        <v>2.5</v>
      </c>
      <c r="H53" s="50">
        <v>18750</v>
      </c>
      <c r="I53" s="49">
        <v>7</v>
      </c>
      <c r="J53" s="50">
        <v>33250</v>
      </c>
      <c r="K53" s="49">
        <v>25</v>
      </c>
      <c r="L53" s="50">
        <v>93750</v>
      </c>
      <c r="M53" s="54">
        <v>100</v>
      </c>
      <c r="N53" s="55">
        <v>275000</v>
      </c>
    </row>
  </sheetData>
  <mergeCells count="2">
    <mergeCell ref="B49:E49"/>
    <mergeCell ref="A48:D48"/>
  </mergeCells>
  <conditionalFormatting sqref="A3:AD42">
    <cfRule type="expression" dxfId="3" priority="1" stopIfTrue="1">
      <formula>MOD(ROW(),4)&gt;1</formula>
    </cfRule>
    <cfRule type="expression" dxfId="2" priority="2" stopIfTrue="1">
      <formula>MOD(ROW(),4)&lt;2</formula>
    </cfRule>
  </conditionalFormatting>
  <pageMargins left="0.7" right="0.7" top="0.75" bottom="0.75" header="0.3" footer="0.3"/>
  <pageSetup scale="45" orientation="landscape" horizontalDpi="0" verticalDpi="0" r:id="rId1"/>
  <headerFooter>
    <oddHeader xml:space="preserve">&amp;L&amp;"Baskerville Old Face,Bold"&amp;18Residential M &amp; B &amp;C&amp;"Baskerville Old Face,Bold"&amp;22 2025 Land Value Analysis and Determination </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FF1BA-3AFA-4534-9FC1-95EE018CCF60}">
  <dimension ref="A1:AX15"/>
  <sheetViews>
    <sheetView view="pageLayout" zoomScaleNormal="100" workbookViewId="0"/>
  </sheetViews>
  <sheetFormatPr defaultColWidth="17" defaultRowHeight="15" x14ac:dyDescent="0.25"/>
  <cols>
    <col min="1" max="1" width="28.42578125" customWidth="1"/>
    <col min="2" max="2" width="14.42578125" bestFit="1" customWidth="1"/>
    <col min="3" max="3" width="9.5703125" style="25" bestFit="1" customWidth="1"/>
    <col min="4" max="4" width="9.85546875" style="15" bestFit="1" customWidth="1"/>
    <col min="5" max="5" width="5.7109375" bestFit="1" customWidth="1"/>
    <col min="6" max="6" width="16.42578125" hidden="1" customWidth="1"/>
    <col min="7" max="7" width="13.7109375" style="15" bestFit="1" customWidth="1"/>
    <col min="8" max="8" width="14.7109375" style="15" bestFit="1" customWidth="1"/>
    <col min="9" max="9" width="12.7109375" style="20" bestFit="1" customWidth="1"/>
    <col min="10" max="11" width="13.7109375" style="15" bestFit="1" customWidth="1"/>
    <col min="12" max="12" width="14.7109375" style="15" bestFit="1" customWidth="1"/>
    <col min="13" max="13" width="11.42578125" style="30" bestFit="1" customWidth="1"/>
    <col min="14" max="14" width="11" style="34" customWidth="1"/>
    <col min="15" max="15" width="14.28515625" style="39" bestFit="1" customWidth="1"/>
    <col min="16" max="16" width="10.85546875" style="39" bestFit="1" customWidth="1"/>
    <col min="17" max="17" width="10.140625" style="15" bestFit="1" customWidth="1"/>
    <col min="18" max="18" width="12.140625" style="15" bestFit="1" customWidth="1"/>
    <col min="19" max="19" width="12.140625" style="44" hidden="1" customWidth="1"/>
    <col min="20" max="20" width="11.7109375" style="39" bestFit="1" customWidth="1"/>
    <col min="21" max="21" width="9" style="4" hidden="1" customWidth="1"/>
    <col min="22" max="22" width="10.5703125" hidden="1" customWidth="1"/>
    <col min="23" max="23" width="19.85546875" bestFit="1" customWidth="1"/>
    <col min="24" max="24" width="26.42578125" bestFit="1" customWidth="1"/>
    <col min="25" max="25" width="6.85546875" hidden="1" customWidth="1"/>
    <col min="26" max="26" width="6.42578125" hidden="1" customWidth="1"/>
    <col min="27" max="27" width="15" hidden="1" customWidth="1"/>
    <col min="28" max="28" width="9.7109375" hidden="1" customWidth="1"/>
    <col min="29" max="29" width="6" hidden="1" customWidth="1"/>
    <col min="30" max="30" width="17.28515625" hidden="1" customWidth="1"/>
  </cols>
  <sheetData>
    <row r="1" spans="1:50" x14ac:dyDescent="0.25">
      <c r="A1" s="1" t="s">
        <v>0</v>
      </c>
      <c r="B1" s="1" t="s">
        <v>1</v>
      </c>
      <c r="C1" s="24" t="s">
        <v>2</v>
      </c>
      <c r="D1" s="14" t="s">
        <v>3</v>
      </c>
      <c r="E1" s="1" t="s">
        <v>4</v>
      </c>
      <c r="F1" s="1" t="s">
        <v>5</v>
      </c>
      <c r="G1" s="14" t="s">
        <v>6</v>
      </c>
      <c r="H1" s="14" t="s">
        <v>7</v>
      </c>
      <c r="I1" s="19" t="s">
        <v>8</v>
      </c>
      <c r="J1" s="14" t="s">
        <v>9</v>
      </c>
      <c r="K1" s="14" t="s">
        <v>10</v>
      </c>
      <c r="L1" s="14" t="s">
        <v>11</v>
      </c>
      <c r="M1" s="29" t="s">
        <v>12</v>
      </c>
      <c r="N1" s="33" t="s">
        <v>13</v>
      </c>
      <c r="O1" s="38" t="s">
        <v>14</v>
      </c>
      <c r="P1" s="38" t="s">
        <v>15</v>
      </c>
      <c r="Q1" s="14" t="s">
        <v>16</v>
      </c>
      <c r="R1" s="14" t="s">
        <v>17</v>
      </c>
      <c r="S1" s="43" t="s">
        <v>18</v>
      </c>
      <c r="T1" s="38" t="s">
        <v>19</v>
      </c>
      <c r="U1" s="3" t="s">
        <v>20</v>
      </c>
      <c r="V1" s="1" t="s">
        <v>21</v>
      </c>
      <c r="W1" s="1" t="s">
        <v>22</v>
      </c>
      <c r="X1" s="1" t="s">
        <v>23</v>
      </c>
      <c r="Y1" s="1" t="s">
        <v>24</v>
      </c>
      <c r="Z1" s="1" t="s">
        <v>25</v>
      </c>
      <c r="AA1" s="1" t="s">
        <v>26</v>
      </c>
      <c r="AB1" s="1" t="s">
        <v>27</v>
      </c>
      <c r="AC1" s="1" t="s">
        <v>28</v>
      </c>
      <c r="AD1" s="1" t="s">
        <v>29</v>
      </c>
      <c r="AE1" s="2"/>
      <c r="AF1" s="2"/>
      <c r="AG1" s="2"/>
      <c r="AH1" s="2"/>
      <c r="AI1" s="2"/>
      <c r="AJ1" s="2"/>
      <c r="AK1" s="2"/>
      <c r="AL1" s="2"/>
      <c r="AM1" s="2"/>
      <c r="AN1" s="2"/>
      <c r="AO1" s="2"/>
      <c r="AP1" s="2"/>
      <c r="AQ1" s="2"/>
      <c r="AR1" s="2"/>
      <c r="AS1" s="2"/>
      <c r="AT1" s="2"/>
      <c r="AU1" s="2"/>
      <c r="AV1" s="2"/>
      <c r="AW1" s="2"/>
      <c r="AX1" s="2"/>
    </row>
    <row r="2" spans="1:50" x14ac:dyDescent="0.25">
      <c r="A2" t="s">
        <v>188</v>
      </c>
      <c r="B2" t="s">
        <v>139</v>
      </c>
      <c r="C2" s="25">
        <v>44775</v>
      </c>
      <c r="D2" s="15">
        <v>4500</v>
      </c>
      <c r="E2" t="s">
        <v>114</v>
      </c>
      <c r="F2" t="s">
        <v>33</v>
      </c>
      <c r="G2" s="15">
        <v>4500</v>
      </c>
      <c r="H2" s="15">
        <v>1600</v>
      </c>
      <c r="I2" s="20">
        <f>H2/G2*100</f>
        <v>35.555555555555557</v>
      </c>
      <c r="J2" s="15">
        <v>8037</v>
      </c>
      <c r="K2" s="15">
        <f>G2-0</f>
        <v>4500</v>
      </c>
      <c r="L2" s="15">
        <v>8037</v>
      </c>
      <c r="M2" s="30">
        <v>107.16628799999999</v>
      </c>
      <c r="N2" s="34">
        <v>275</v>
      </c>
      <c r="O2" s="39">
        <v>0.56799999999999995</v>
      </c>
      <c r="P2" s="39">
        <v>0.56799999999999995</v>
      </c>
      <c r="Q2" s="15">
        <f>K2/M2</f>
        <v>41.990817112187372</v>
      </c>
      <c r="R2" s="15">
        <f>K2/O2</f>
        <v>7922.5352112676064</v>
      </c>
      <c r="S2" s="44">
        <f>K2/O2/43560</f>
        <v>0.1818763822605052</v>
      </c>
      <c r="T2" s="39">
        <v>90</v>
      </c>
      <c r="U2" s="5" t="s">
        <v>183</v>
      </c>
      <c r="V2" t="s">
        <v>189</v>
      </c>
      <c r="X2" t="s">
        <v>186</v>
      </c>
      <c r="Y2">
        <v>0</v>
      </c>
      <c r="Z2">
        <v>0</v>
      </c>
      <c r="AA2" t="s">
        <v>37</v>
      </c>
      <c r="AC2" s="6" t="s">
        <v>38</v>
      </c>
      <c r="AD2" t="s">
        <v>64</v>
      </c>
    </row>
    <row r="3" spans="1:50" x14ac:dyDescent="0.25">
      <c r="A3" t="s">
        <v>181</v>
      </c>
      <c r="B3" t="s">
        <v>182</v>
      </c>
      <c r="C3" s="25">
        <v>45057</v>
      </c>
      <c r="D3" s="15">
        <v>34000</v>
      </c>
      <c r="E3" t="s">
        <v>32</v>
      </c>
      <c r="F3" t="s">
        <v>33</v>
      </c>
      <c r="G3" s="15">
        <v>34000</v>
      </c>
      <c r="H3" s="15">
        <v>2000</v>
      </c>
      <c r="I3" s="20">
        <f>H3/G3*100</f>
        <v>5.8823529411764701</v>
      </c>
      <c r="J3" s="15">
        <v>10126</v>
      </c>
      <c r="K3" s="15">
        <f>G3-0</f>
        <v>34000</v>
      </c>
      <c r="L3" s="15">
        <v>10126</v>
      </c>
      <c r="M3" s="30">
        <v>180</v>
      </c>
      <c r="N3" s="34">
        <v>334</v>
      </c>
      <c r="O3" s="39">
        <v>0.69</v>
      </c>
      <c r="P3" s="39">
        <v>0.34499999999999997</v>
      </c>
      <c r="Q3" s="15">
        <f>K3/M3</f>
        <v>188.88888888888889</v>
      </c>
      <c r="R3" s="15">
        <f>K3/O3</f>
        <v>49275.362318840584</v>
      </c>
      <c r="S3" s="44">
        <f>K3/O3/43560</f>
        <v>1.1312066648035028</v>
      </c>
      <c r="T3" s="39">
        <v>180</v>
      </c>
      <c r="U3" s="5" t="s">
        <v>183</v>
      </c>
      <c r="V3" t="s">
        <v>184</v>
      </c>
      <c r="W3" t="s">
        <v>185</v>
      </c>
      <c r="X3" t="s">
        <v>186</v>
      </c>
      <c r="Y3">
        <v>0</v>
      </c>
      <c r="Z3">
        <v>0</v>
      </c>
      <c r="AA3" t="s">
        <v>37</v>
      </c>
      <c r="AC3" s="6" t="s">
        <v>38</v>
      </c>
      <c r="AD3" t="s">
        <v>64</v>
      </c>
    </row>
    <row r="4" spans="1:50" x14ac:dyDescent="0.25">
      <c r="A4" t="s">
        <v>185</v>
      </c>
      <c r="B4" t="s">
        <v>187</v>
      </c>
      <c r="C4" s="25">
        <v>45057</v>
      </c>
      <c r="D4" s="15">
        <v>34000</v>
      </c>
      <c r="E4" t="s">
        <v>32</v>
      </c>
      <c r="F4" t="s">
        <v>33</v>
      </c>
      <c r="G4" s="15">
        <v>34000</v>
      </c>
      <c r="H4" s="15">
        <v>2000</v>
      </c>
      <c r="I4" s="20">
        <f>H4/G4*100</f>
        <v>5.8823529411764701</v>
      </c>
      <c r="J4" s="15">
        <v>10126</v>
      </c>
      <c r="K4" s="15">
        <f>G4-0</f>
        <v>34000</v>
      </c>
      <c r="L4" s="15">
        <v>10126</v>
      </c>
      <c r="M4" s="30">
        <v>180</v>
      </c>
      <c r="N4" s="34">
        <v>334</v>
      </c>
      <c r="O4" s="39">
        <v>0.69</v>
      </c>
      <c r="P4" s="39">
        <v>0.34499999999999997</v>
      </c>
      <c r="Q4" s="15">
        <f>K4/M4</f>
        <v>188.88888888888889</v>
      </c>
      <c r="R4" s="15">
        <f>K4/O4</f>
        <v>49275.362318840584</v>
      </c>
      <c r="S4" s="44">
        <f>K4/O4/43560</f>
        <v>1.1312066648035028</v>
      </c>
      <c r="T4" s="39">
        <v>180</v>
      </c>
      <c r="U4" s="5" t="s">
        <v>183</v>
      </c>
      <c r="V4" t="s">
        <v>184</v>
      </c>
      <c r="W4" t="s">
        <v>181</v>
      </c>
      <c r="X4" t="s">
        <v>186</v>
      </c>
      <c r="Y4">
        <v>0</v>
      </c>
      <c r="Z4">
        <v>0</v>
      </c>
      <c r="AA4" t="s">
        <v>37</v>
      </c>
      <c r="AC4" s="6" t="s">
        <v>38</v>
      </c>
      <c r="AD4" t="s">
        <v>64</v>
      </c>
    </row>
    <row r="5" spans="1:50" ht="15.75" thickBot="1" x14ac:dyDescent="0.3">
      <c r="A5" t="s">
        <v>59</v>
      </c>
      <c r="B5" t="s">
        <v>60</v>
      </c>
      <c r="C5" s="25">
        <v>44823</v>
      </c>
      <c r="D5" s="15">
        <v>1407</v>
      </c>
      <c r="E5" t="s">
        <v>32</v>
      </c>
      <c r="F5" t="s">
        <v>33</v>
      </c>
      <c r="G5" s="15">
        <v>1407</v>
      </c>
      <c r="H5" s="15">
        <v>0</v>
      </c>
      <c r="I5" s="20">
        <f>H5/G5*100</f>
        <v>0</v>
      </c>
      <c r="J5" s="15">
        <v>9896</v>
      </c>
      <c r="K5" s="15">
        <f>G5-0</f>
        <v>1407</v>
      </c>
      <c r="L5" s="15">
        <v>9896</v>
      </c>
      <c r="M5" s="30">
        <v>113.100042</v>
      </c>
      <c r="N5" s="34">
        <v>118.80722799999999</v>
      </c>
      <c r="O5" s="39">
        <v>0.56599999999999995</v>
      </c>
      <c r="P5" s="39">
        <v>0.56599999999999995</v>
      </c>
      <c r="Q5" s="15">
        <f>K5/M5</f>
        <v>12.440313682642133</v>
      </c>
      <c r="R5" s="15">
        <f>K5/O5</f>
        <v>2485.8657243816256</v>
      </c>
      <c r="S5" s="44">
        <f>K5/O5/43560</f>
        <v>5.7067624526667256E-2</v>
      </c>
      <c r="T5" s="39">
        <v>107</v>
      </c>
      <c r="U5" s="5" t="s">
        <v>61</v>
      </c>
      <c r="V5" t="s">
        <v>62</v>
      </c>
      <c r="X5" t="s">
        <v>63</v>
      </c>
      <c r="Y5">
        <v>0</v>
      </c>
      <c r="Z5">
        <v>0</v>
      </c>
      <c r="AA5" s="7">
        <v>44685</v>
      </c>
      <c r="AC5" s="6" t="s">
        <v>38</v>
      </c>
      <c r="AD5" t="s">
        <v>64</v>
      </c>
    </row>
    <row r="6" spans="1:50" ht="15.75" thickTop="1" x14ac:dyDescent="0.25">
      <c r="A6" s="8"/>
      <c r="B6" s="8"/>
      <c r="C6" s="26" t="s">
        <v>229</v>
      </c>
      <c r="D6" s="16">
        <f>+SUM(D2:D5)</f>
        <v>73907</v>
      </c>
      <c r="E6" s="8"/>
      <c r="F6" s="8"/>
      <c r="G6" s="16">
        <f>+SUM(G2:G5)</f>
        <v>73907</v>
      </c>
      <c r="H6" s="16">
        <f>+SUM(H2:H5)</f>
        <v>5600</v>
      </c>
      <c r="I6" s="21"/>
      <c r="J6" s="16">
        <f>+SUM(J2:J5)</f>
        <v>38185</v>
      </c>
      <c r="K6" s="16">
        <f>+SUM(K2:K5)</f>
        <v>73907</v>
      </c>
      <c r="L6" s="16">
        <f>+SUM(L2:L5)</f>
        <v>38185</v>
      </c>
      <c r="M6" s="31">
        <f>+SUM(M2:M5)</f>
        <v>580.26633000000004</v>
      </c>
      <c r="N6" s="35"/>
      <c r="O6" s="40">
        <f>+SUM(O2:O5)</f>
        <v>2.5139999999999998</v>
      </c>
      <c r="P6" s="40">
        <f>+SUM(P2:P5)</f>
        <v>1.8239999999999998</v>
      </c>
      <c r="Q6" s="16"/>
      <c r="R6" s="16"/>
      <c r="S6" s="45"/>
      <c r="T6" s="40"/>
      <c r="U6" s="9"/>
      <c r="V6" s="8"/>
      <c r="W6" s="8"/>
      <c r="X6" s="8"/>
      <c r="Y6" s="8"/>
      <c r="Z6" s="8"/>
      <c r="AA6" s="8"/>
      <c r="AB6" s="8"/>
      <c r="AC6" s="8"/>
      <c r="AD6" s="8"/>
    </row>
    <row r="7" spans="1:50" x14ac:dyDescent="0.25">
      <c r="A7" s="10"/>
      <c r="B7" s="10"/>
      <c r="C7" s="27"/>
      <c r="D7" s="17"/>
      <c r="E7" s="10"/>
      <c r="F7" s="10"/>
      <c r="G7" s="17"/>
      <c r="H7" s="17" t="s">
        <v>230</v>
      </c>
      <c r="I7" s="22">
        <f>H6/G6*100</f>
        <v>7.5770901267809538</v>
      </c>
      <c r="J7" s="17"/>
      <c r="K7" s="17"/>
      <c r="L7" s="17" t="s">
        <v>231</v>
      </c>
      <c r="M7" s="32"/>
      <c r="N7" s="36"/>
      <c r="O7" s="41" t="s">
        <v>231</v>
      </c>
      <c r="P7" s="41"/>
      <c r="Q7" s="17"/>
      <c r="R7" s="17"/>
      <c r="S7" s="46"/>
      <c r="T7" s="41"/>
      <c r="U7" s="11"/>
      <c r="V7" s="10"/>
      <c r="W7" s="10"/>
      <c r="X7" s="10"/>
      <c r="Y7" s="10"/>
      <c r="Z7" s="10"/>
      <c r="AA7" s="10"/>
      <c r="AB7" s="10"/>
      <c r="AC7" s="10"/>
      <c r="AD7" s="10"/>
    </row>
    <row r="8" spans="1:50" x14ac:dyDescent="0.25">
      <c r="A8" s="12"/>
      <c r="B8" s="12"/>
      <c r="C8" s="28"/>
      <c r="D8" s="18"/>
      <c r="E8" s="12"/>
      <c r="F8" s="12"/>
      <c r="G8" s="18"/>
      <c r="H8" s="18" t="s">
        <v>232</v>
      </c>
      <c r="I8" s="23">
        <f>STDEV(I2:I5)</f>
        <v>16.058226318363328</v>
      </c>
      <c r="J8" s="18"/>
      <c r="K8" s="18"/>
      <c r="L8" s="18" t="s">
        <v>233</v>
      </c>
      <c r="M8" s="65">
        <f>K6/M6</f>
        <v>127.3673762873679</v>
      </c>
      <c r="N8" s="37"/>
      <c r="O8" s="42" t="s">
        <v>234</v>
      </c>
      <c r="P8" s="42">
        <f>K6/O6</f>
        <v>29398.170246618938</v>
      </c>
      <c r="Q8" s="18"/>
      <c r="R8" s="18"/>
      <c r="S8" s="47"/>
      <c r="T8" s="42"/>
      <c r="U8" s="13"/>
      <c r="V8" s="12"/>
      <c r="W8" s="12"/>
      <c r="X8" s="12"/>
      <c r="Y8" s="12"/>
      <c r="Z8" s="12"/>
      <c r="AA8" s="12"/>
      <c r="AB8" s="12"/>
      <c r="AC8" s="12"/>
      <c r="AD8" s="12"/>
    </row>
    <row r="9" spans="1:50" x14ac:dyDescent="0.25">
      <c r="A9" t="s">
        <v>253</v>
      </c>
    </row>
    <row r="11" spans="1:50" x14ac:dyDescent="0.25">
      <c r="A11" s="67" t="s">
        <v>248</v>
      </c>
      <c r="B11" s="66" t="s">
        <v>250</v>
      </c>
      <c r="H11" s="68" t="s">
        <v>237</v>
      </c>
      <c r="I11" s="69" t="s">
        <v>238</v>
      </c>
      <c r="J11" s="68" t="s">
        <v>239</v>
      </c>
      <c r="K11" s="69" t="s">
        <v>240</v>
      </c>
      <c r="L11" s="68" t="s">
        <v>241</v>
      </c>
      <c r="M11" s="69" t="s">
        <v>242</v>
      </c>
      <c r="N11" s="68" t="s">
        <v>243</v>
      </c>
      <c r="O11" s="69" t="s">
        <v>244</v>
      </c>
    </row>
    <row r="12" spans="1:50" x14ac:dyDescent="0.25">
      <c r="A12" t="s">
        <v>249</v>
      </c>
      <c r="B12" s="15">
        <v>127</v>
      </c>
      <c r="D12" s="15" t="s">
        <v>252</v>
      </c>
      <c r="H12" s="68">
        <v>1</v>
      </c>
      <c r="I12" s="69">
        <v>9000</v>
      </c>
      <c r="J12" s="68">
        <v>3</v>
      </c>
      <c r="K12" s="69">
        <v>21000</v>
      </c>
      <c r="L12" s="68">
        <v>10</v>
      </c>
      <c r="M12" s="69">
        <v>45000</v>
      </c>
      <c r="N12" s="68">
        <v>30</v>
      </c>
      <c r="O12" s="69">
        <v>105000</v>
      </c>
    </row>
    <row r="13" spans="1:50" x14ac:dyDescent="0.25">
      <c r="A13" t="s">
        <v>251</v>
      </c>
      <c r="B13" s="15">
        <v>127</v>
      </c>
      <c r="H13" s="54">
        <v>1.5</v>
      </c>
      <c r="I13" s="55">
        <v>12750</v>
      </c>
      <c r="J13" s="54">
        <v>4</v>
      </c>
      <c r="K13" s="55">
        <v>26000</v>
      </c>
      <c r="L13" s="54">
        <v>15</v>
      </c>
      <c r="M13" s="55">
        <v>63750</v>
      </c>
      <c r="N13" s="54">
        <v>40</v>
      </c>
      <c r="O13" s="55">
        <v>130000</v>
      </c>
    </row>
    <row r="14" spans="1:50" x14ac:dyDescent="0.25">
      <c r="H14" s="68">
        <v>2</v>
      </c>
      <c r="I14" s="69">
        <v>16000</v>
      </c>
      <c r="J14" s="68">
        <v>5</v>
      </c>
      <c r="K14" s="69">
        <v>27500</v>
      </c>
      <c r="L14" s="68">
        <v>20</v>
      </c>
      <c r="M14" s="69">
        <v>80000</v>
      </c>
      <c r="N14" s="68">
        <v>50</v>
      </c>
      <c r="O14" s="69">
        <v>150000</v>
      </c>
    </row>
    <row r="15" spans="1:50" x14ac:dyDescent="0.25">
      <c r="H15" s="54">
        <v>2.5</v>
      </c>
      <c r="I15" s="55">
        <v>18750</v>
      </c>
      <c r="J15" s="54">
        <v>7</v>
      </c>
      <c r="K15" s="55">
        <v>33250</v>
      </c>
      <c r="L15" s="54">
        <v>25</v>
      </c>
      <c r="M15" s="55">
        <v>93750</v>
      </c>
      <c r="N15" s="54">
        <v>100</v>
      </c>
      <c r="O15" s="55">
        <v>275000</v>
      </c>
    </row>
  </sheetData>
  <conditionalFormatting sqref="A2:AD5">
    <cfRule type="expression" dxfId="1" priority="1" stopIfTrue="1">
      <formula>MOD(ROW(),4)&gt;1</formula>
    </cfRule>
    <cfRule type="expression" dxfId="0" priority="2" stopIfTrue="1">
      <formula>MOD(ROW(),4)&lt;2</formula>
    </cfRule>
  </conditionalFormatting>
  <pageMargins left="0.7" right="0.7" top="0.75" bottom="0.75" header="0.3" footer="0.3"/>
  <pageSetup scale="43" orientation="landscape" horizontalDpi="0" verticalDpi="0" r:id="rId1"/>
  <headerFooter>
    <oddHeader xml:space="preserve">&amp;L&amp;"Baskerville Old Face,Bold"&amp;16Dayton Township Birchcrest Acres Off Lake and Lee Hill Sub&amp;C&amp;"Baskerville Old Face,Bold"&amp;20 2025 Land Value Analysis and Determination&amp;"-,Bold" </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96668-18DA-43B3-B96F-8B1C8B7E35DF}">
  <sheetPr>
    <pageSetUpPr fitToPage="1"/>
  </sheetPr>
  <dimension ref="A1:X66"/>
  <sheetViews>
    <sheetView view="pageLayout" topLeftCell="G1" zoomScaleNormal="100" zoomScaleSheetLayoutView="100" workbookViewId="0">
      <selection activeCell="G53" sqref="G53:I53"/>
    </sheetView>
  </sheetViews>
  <sheetFormatPr defaultRowHeight="15" x14ac:dyDescent="0.25"/>
  <cols>
    <col min="1" max="1" width="19.140625" style="79" bestFit="1" customWidth="1"/>
    <col min="2" max="2" width="19.42578125" style="79" hidden="1" customWidth="1"/>
    <col min="3" max="3" width="9.28515625" style="83" bestFit="1" customWidth="1"/>
    <col min="4" max="4" width="11.85546875" style="84" bestFit="1" customWidth="1"/>
    <col min="5" max="5" width="5.5703125" style="85" bestFit="1" customWidth="1"/>
    <col min="6" max="6" width="12.5703125" style="84" bestFit="1" customWidth="1"/>
    <col min="7" max="7" width="13.28515625" style="84" bestFit="1" customWidth="1"/>
    <col min="8" max="8" width="14.42578125" style="84" bestFit="1" customWidth="1"/>
    <col min="9" max="9" width="11.140625" style="159" bestFit="1" customWidth="1"/>
    <col min="10" max="10" width="7.28515625" style="88" bestFit="1" customWidth="1"/>
    <col min="11" max="11" width="14.28515625" style="89" bestFit="1" customWidth="1"/>
    <col min="12" max="12" width="10.7109375" style="166" bestFit="1" customWidth="1"/>
    <col min="13" max="13" width="10" style="84" bestFit="1" customWidth="1"/>
    <col min="14" max="14" width="12" style="84" bestFit="1" customWidth="1"/>
    <col min="15" max="15" width="11.85546875" style="174" bestFit="1" customWidth="1"/>
    <col min="16" max="16" width="8.7109375" style="117" bestFit="1" customWidth="1"/>
    <col min="17" max="17" width="20.42578125" style="92" customWidth="1"/>
    <col min="18" max="16384" width="9.140625" style="79"/>
  </cols>
  <sheetData>
    <row r="1" spans="1:24" ht="30" x14ac:dyDescent="0.25">
      <c r="A1" s="70" t="s">
        <v>0</v>
      </c>
      <c r="B1" s="70" t="s">
        <v>1</v>
      </c>
      <c r="C1" s="71" t="s">
        <v>2</v>
      </c>
      <c r="D1" s="72" t="s">
        <v>3</v>
      </c>
      <c r="E1" s="70" t="s">
        <v>4</v>
      </c>
      <c r="F1" s="152" t="s">
        <v>254</v>
      </c>
      <c r="G1" s="152" t="s">
        <v>255</v>
      </c>
      <c r="H1" s="152" t="s">
        <v>256</v>
      </c>
      <c r="I1" s="157" t="s">
        <v>12</v>
      </c>
      <c r="J1" s="74" t="s">
        <v>13</v>
      </c>
      <c r="K1" s="75" t="s">
        <v>14</v>
      </c>
      <c r="L1" s="167" t="s">
        <v>15</v>
      </c>
      <c r="M1" s="152" t="s">
        <v>257</v>
      </c>
      <c r="N1" s="152" t="s">
        <v>258</v>
      </c>
      <c r="O1" s="172" t="s">
        <v>259</v>
      </c>
      <c r="P1" s="77" t="s">
        <v>20</v>
      </c>
      <c r="Q1" s="78" t="s">
        <v>22</v>
      </c>
      <c r="T1" s="80"/>
      <c r="U1" s="80" t="s">
        <v>260</v>
      </c>
      <c r="V1" s="81" t="s">
        <v>261</v>
      </c>
      <c r="W1" s="81" t="s">
        <v>260</v>
      </c>
      <c r="X1" s="82" t="s">
        <v>261</v>
      </c>
    </row>
    <row r="2" spans="1:24" x14ac:dyDescent="0.25">
      <c r="A2" s="148" t="s">
        <v>73</v>
      </c>
      <c r="B2" s="148" t="s">
        <v>74</v>
      </c>
      <c r="C2" s="149">
        <v>45280</v>
      </c>
      <c r="D2" s="150">
        <v>198000</v>
      </c>
      <c r="E2" s="148" t="s">
        <v>32</v>
      </c>
      <c r="F2" s="150">
        <v>198000</v>
      </c>
      <c r="G2" s="150">
        <f>F2-154085</f>
        <v>43915</v>
      </c>
      <c r="H2" s="150">
        <v>17916</v>
      </c>
      <c r="I2" s="158">
        <v>110.593234</v>
      </c>
      <c r="J2" s="151">
        <v>200</v>
      </c>
      <c r="K2" s="165">
        <v>0.45900000000000002</v>
      </c>
      <c r="L2" s="165">
        <v>0.45900000000000002</v>
      </c>
      <c r="M2" s="150">
        <f>G2/I2</f>
        <v>397.08577470480702</v>
      </c>
      <c r="N2" s="150">
        <f>G2/K2</f>
        <v>95675.381263616553</v>
      </c>
      <c r="O2" s="173">
        <f>G2/K2/43560</f>
        <v>2.1964045285495075</v>
      </c>
      <c r="P2" s="117" t="s">
        <v>75</v>
      </c>
      <c r="Q2" s="85"/>
      <c r="T2" s="80"/>
      <c r="U2" s="80"/>
      <c r="V2" s="81"/>
      <c r="W2" s="81"/>
      <c r="X2" s="82"/>
    </row>
    <row r="3" spans="1:24" x14ac:dyDescent="0.25">
      <c r="A3" s="148"/>
      <c r="B3" s="148"/>
      <c r="C3" s="149"/>
      <c r="D3" s="150"/>
      <c r="E3" s="148"/>
      <c r="F3" s="150"/>
      <c r="G3" s="150"/>
      <c r="H3" s="150"/>
      <c r="I3" s="158"/>
      <c r="J3" s="151"/>
      <c r="K3" s="165"/>
      <c r="L3" s="165"/>
      <c r="M3" s="150"/>
      <c r="N3" s="150"/>
      <c r="O3" s="173"/>
      <c r="Q3" s="85"/>
      <c r="T3" s="80"/>
      <c r="U3" s="80"/>
      <c r="V3" s="81"/>
      <c r="W3" s="81"/>
      <c r="X3" s="82"/>
    </row>
    <row r="4" spans="1:24" x14ac:dyDescent="0.25">
      <c r="A4" s="148" t="s">
        <v>68</v>
      </c>
      <c r="B4" s="148" t="s">
        <v>66</v>
      </c>
      <c r="C4" s="149">
        <v>45202</v>
      </c>
      <c r="D4" s="150">
        <v>60000</v>
      </c>
      <c r="E4" s="148" t="s">
        <v>32</v>
      </c>
      <c r="F4" s="150">
        <v>60000</v>
      </c>
      <c r="G4" s="150">
        <f>F4-0</f>
        <v>60000</v>
      </c>
      <c r="H4" s="150">
        <v>88107</v>
      </c>
      <c r="I4" s="158">
        <v>104.889297</v>
      </c>
      <c r="J4" s="151">
        <v>671</v>
      </c>
      <c r="K4" s="165">
        <v>1.694</v>
      </c>
      <c r="L4" s="165">
        <v>1.694</v>
      </c>
      <c r="M4" s="150">
        <f>G4/I4</f>
        <v>572.03167259286715</v>
      </c>
      <c r="N4" s="150">
        <f>G4/K4</f>
        <v>35419.126328217237</v>
      </c>
      <c r="O4" s="173">
        <f>G4/K4/43560</f>
        <v>0.81311125638698889</v>
      </c>
      <c r="P4" s="117" t="s">
        <v>67</v>
      </c>
      <c r="Q4" s="85"/>
      <c r="T4" s="80"/>
      <c r="U4" s="80"/>
      <c r="V4" s="81"/>
      <c r="W4" s="81"/>
      <c r="X4" s="82"/>
    </row>
    <row r="5" spans="1:24" x14ac:dyDescent="0.25">
      <c r="A5" s="148" t="s">
        <v>65</v>
      </c>
      <c r="B5" s="148" t="s">
        <v>66</v>
      </c>
      <c r="C5" s="149">
        <v>44702</v>
      </c>
      <c r="D5" s="150">
        <v>125000</v>
      </c>
      <c r="E5" s="148" t="s">
        <v>32</v>
      </c>
      <c r="F5" s="150">
        <v>125000</v>
      </c>
      <c r="G5" s="150">
        <f>F5-0</f>
        <v>125000</v>
      </c>
      <c r="H5" s="150">
        <v>106665</v>
      </c>
      <c r="I5" s="158">
        <v>126.982355</v>
      </c>
      <c r="J5" s="151">
        <v>365</v>
      </c>
      <c r="K5" s="165">
        <v>1.7509999999999999</v>
      </c>
      <c r="L5" s="165">
        <v>1.7509999999999999</v>
      </c>
      <c r="M5" s="150">
        <f>G5/I5</f>
        <v>984.38873652957534</v>
      </c>
      <c r="N5" s="150">
        <f>G5/K5</f>
        <v>71387.778412335814</v>
      </c>
      <c r="O5" s="173">
        <f>G5/K5/43560</f>
        <v>1.6388378882538066</v>
      </c>
      <c r="P5" s="117" t="s">
        <v>67</v>
      </c>
      <c r="Q5" s="85"/>
      <c r="T5" s="80"/>
      <c r="U5" s="80"/>
      <c r="V5" s="81"/>
      <c r="W5" s="81"/>
      <c r="X5" s="82"/>
    </row>
    <row r="6" spans="1:24" x14ac:dyDescent="0.25">
      <c r="A6" s="148"/>
      <c r="B6" s="148"/>
      <c r="C6" s="149"/>
      <c r="D6" s="150"/>
      <c r="E6" s="148"/>
      <c r="F6" s="150"/>
      <c r="G6" s="150"/>
      <c r="H6" s="150"/>
      <c r="I6" s="158"/>
      <c r="J6" s="151"/>
      <c r="K6" s="165"/>
      <c r="L6" s="165"/>
      <c r="M6" s="150"/>
      <c r="N6" s="150"/>
      <c r="O6" s="173"/>
      <c r="Q6" s="85"/>
      <c r="T6" s="80"/>
      <c r="U6" s="80"/>
      <c r="V6" s="81"/>
      <c r="W6" s="81"/>
      <c r="X6" s="82"/>
    </row>
    <row r="7" spans="1:24" x14ac:dyDescent="0.25">
      <c r="A7" s="148" t="s">
        <v>76</v>
      </c>
      <c r="B7" s="148" t="s">
        <v>77</v>
      </c>
      <c r="C7" s="149">
        <v>45156</v>
      </c>
      <c r="D7" s="150">
        <v>5600</v>
      </c>
      <c r="E7" s="148" t="s">
        <v>32</v>
      </c>
      <c r="F7" s="150">
        <v>5600</v>
      </c>
      <c r="G7" s="150">
        <f>F7-0</f>
        <v>5600</v>
      </c>
      <c r="H7" s="150">
        <v>8324</v>
      </c>
      <c r="I7" s="158">
        <v>55.492303</v>
      </c>
      <c r="J7" s="151">
        <v>144</v>
      </c>
      <c r="K7" s="165">
        <v>0.19800000000000001</v>
      </c>
      <c r="L7" s="165">
        <v>0.19800000000000001</v>
      </c>
      <c r="M7" s="150">
        <f>G7/I7</f>
        <v>100.91489625146752</v>
      </c>
      <c r="N7" s="150">
        <f>G7/K7</f>
        <v>28282.828282828283</v>
      </c>
      <c r="O7" s="173">
        <f>G7/K7/43560</f>
        <v>0.64928439584086972</v>
      </c>
      <c r="P7" s="117" t="s">
        <v>72</v>
      </c>
      <c r="Q7" s="85"/>
      <c r="T7" s="80"/>
      <c r="U7" s="80"/>
      <c r="V7" s="81"/>
      <c r="W7" s="81"/>
      <c r="X7" s="82"/>
    </row>
    <row r="8" spans="1:24" x14ac:dyDescent="0.25">
      <c r="A8" s="148" t="s">
        <v>78</v>
      </c>
      <c r="B8" s="148" t="s">
        <v>77</v>
      </c>
      <c r="C8" s="149">
        <v>45156</v>
      </c>
      <c r="D8" s="150">
        <v>5600</v>
      </c>
      <c r="E8" s="148" t="s">
        <v>32</v>
      </c>
      <c r="F8" s="150">
        <v>5600</v>
      </c>
      <c r="G8" s="150">
        <f>F8-0</f>
        <v>5600</v>
      </c>
      <c r="H8" s="150">
        <v>8324</v>
      </c>
      <c r="I8" s="158">
        <v>55.492303</v>
      </c>
      <c r="J8" s="151">
        <v>144</v>
      </c>
      <c r="K8" s="165">
        <v>0.19800000000000001</v>
      </c>
      <c r="L8" s="165">
        <v>0.19800000000000001</v>
      </c>
      <c r="M8" s="150">
        <f>G8/I8</f>
        <v>100.91489625146752</v>
      </c>
      <c r="N8" s="150">
        <f>G8/K8</f>
        <v>28282.828282828283</v>
      </c>
      <c r="O8" s="173">
        <f>G8/K8/43560</f>
        <v>0.64928439584086972</v>
      </c>
      <c r="P8" s="117" t="s">
        <v>72</v>
      </c>
      <c r="Q8" s="85"/>
      <c r="T8" s="80"/>
      <c r="U8" s="80"/>
      <c r="V8" s="81"/>
      <c r="W8" s="81"/>
      <c r="X8" s="82"/>
    </row>
    <row r="9" spans="1:24" x14ac:dyDescent="0.2">
      <c r="A9" s="79" t="s">
        <v>262</v>
      </c>
      <c r="B9" s="79" t="s">
        <v>263</v>
      </c>
      <c r="C9" s="83">
        <v>44295</v>
      </c>
      <c r="D9" s="84">
        <v>17500</v>
      </c>
      <c r="E9" s="85" t="s">
        <v>32</v>
      </c>
      <c r="F9" s="84">
        <v>17500</v>
      </c>
      <c r="G9" s="84">
        <f>F9-0</f>
        <v>17500</v>
      </c>
      <c r="H9" s="84">
        <v>14895</v>
      </c>
      <c r="I9" s="159">
        <v>350.4</v>
      </c>
      <c r="J9" s="88">
        <v>284.7</v>
      </c>
      <c r="K9" s="166">
        <v>1.83</v>
      </c>
      <c r="L9" s="166">
        <v>1.83</v>
      </c>
      <c r="M9" s="84">
        <f t="shared" ref="M9:M21" si="0">G9/I9</f>
        <v>49.94292237442923</v>
      </c>
      <c r="N9" s="84">
        <f t="shared" ref="N9:N21" si="1">G9/K9</f>
        <v>9562.841530054644</v>
      </c>
      <c r="O9" s="174">
        <f t="shared" ref="O9:O21" si="2">G9/K9/43560</f>
        <v>0.21953263383963828</v>
      </c>
      <c r="P9" s="91" t="s">
        <v>72</v>
      </c>
      <c r="T9" s="93">
        <v>1</v>
      </c>
      <c r="U9" s="94">
        <f t="shared" ref="U9:U16" si="3">V9/T9</f>
        <v>9000</v>
      </c>
      <c r="V9" s="95">
        <v>9000</v>
      </c>
      <c r="W9" s="96">
        <v>9000</v>
      </c>
      <c r="X9" s="97">
        <f>T9*W9</f>
        <v>9000</v>
      </c>
    </row>
    <row r="10" spans="1:24" x14ac:dyDescent="0.2">
      <c r="A10" s="79" t="s">
        <v>65</v>
      </c>
      <c r="B10" s="79" t="s">
        <v>263</v>
      </c>
      <c r="C10" s="83">
        <v>44702</v>
      </c>
      <c r="D10" s="84">
        <v>125000</v>
      </c>
      <c r="E10" s="85" t="s">
        <v>32</v>
      </c>
      <c r="F10" s="84">
        <v>125000</v>
      </c>
      <c r="G10" s="84">
        <f>F10-0</f>
        <v>125000</v>
      </c>
      <c r="H10" s="84">
        <v>88888</v>
      </c>
      <c r="I10" s="159">
        <v>126.982355</v>
      </c>
      <c r="J10" s="88">
        <v>365</v>
      </c>
      <c r="K10" s="166">
        <v>1.7509999999999999</v>
      </c>
      <c r="L10" s="166">
        <v>1.7509999999999999</v>
      </c>
      <c r="M10" s="84">
        <f t="shared" si="0"/>
        <v>984.38873652957534</v>
      </c>
      <c r="N10" s="84">
        <f t="shared" si="1"/>
        <v>71387.778412335814</v>
      </c>
      <c r="O10" s="174">
        <f t="shared" si="2"/>
        <v>1.6388378882538066</v>
      </c>
      <c r="P10" s="91" t="s">
        <v>67</v>
      </c>
      <c r="T10" s="93">
        <v>1.5</v>
      </c>
      <c r="U10" s="94">
        <f t="shared" si="3"/>
        <v>8500</v>
      </c>
      <c r="V10" s="95">
        <v>12750</v>
      </c>
      <c r="W10" s="96">
        <v>8500</v>
      </c>
      <c r="X10" s="97">
        <f t="shared" ref="X10:X24" si="4">T10*W10</f>
        <v>12750</v>
      </c>
    </row>
    <row r="11" spans="1:24" x14ac:dyDescent="0.2">
      <c r="A11" s="79" t="s">
        <v>264</v>
      </c>
      <c r="B11" s="79" t="s">
        <v>265</v>
      </c>
      <c r="C11" s="83">
        <v>44449</v>
      </c>
      <c r="D11" s="84">
        <v>280000</v>
      </c>
      <c r="E11" s="85" t="s">
        <v>32</v>
      </c>
      <c r="F11" s="84">
        <v>280000</v>
      </c>
      <c r="G11" s="84">
        <f>F11-144116</f>
        <v>135884</v>
      </c>
      <c r="H11" s="84">
        <v>87017</v>
      </c>
      <c r="I11" s="159">
        <v>47.263064999999997</v>
      </c>
      <c r="J11" s="88">
        <v>149</v>
      </c>
      <c r="K11" s="166">
        <v>28.361000000000001</v>
      </c>
      <c r="L11" s="166">
        <v>28.19</v>
      </c>
      <c r="M11" s="84">
        <f t="shared" si="0"/>
        <v>2875.0568758077793</v>
      </c>
      <c r="N11" s="84">
        <f t="shared" si="1"/>
        <v>4791.2273897253272</v>
      </c>
      <c r="O11" s="174">
        <f t="shared" si="2"/>
        <v>0.10999144604511771</v>
      </c>
      <c r="P11" s="91" t="s">
        <v>72</v>
      </c>
      <c r="Q11" s="92" t="s">
        <v>266</v>
      </c>
      <c r="T11" s="93">
        <v>2</v>
      </c>
      <c r="U11" s="94">
        <f t="shared" si="3"/>
        <v>8000</v>
      </c>
      <c r="V11" s="95">
        <v>16000</v>
      </c>
      <c r="W11" s="96">
        <v>8000</v>
      </c>
      <c r="X11" s="97">
        <f t="shared" si="4"/>
        <v>16000</v>
      </c>
    </row>
    <row r="12" spans="1:24" x14ac:dyDescent="0.2">
      <c r="A12" s="79" t="s">
        <v>267</v>
      </c>
      <c r="B12" s="79" t="s">
        <v>111</v>
      </c>
      <c r="C12" s="83">
        <v>44340</v>
      </c>
      <c r="D12" s="84">
        <v>135000</v>
      </c>
      <c r="E12" s="85" t="s">
        <v>32</v>
      </c>
      <c r="F12" s="84">
        <v>135000</v>
      </c>
      <c r="G12" s="84">
        <f>F12-80889</f>
        <v>54111</v>
      </c>
      <c r="H12" s="84">
        <v>49292</v>
      </c>
      <c r="I12" s="159">
        <v>180.487685</v>
      </c>
      <c r="J12" s="88">
        <v>399</v>
      </c>
      <c r="K12" s="166">
        <v>1.5009999999999999</v>
      </c>
      <c r="L12" s="166">
        <v>1.329</v>
      </c>
      <c r="M12" s="84">
        <f t="shared" si="0"/>
        <v>299.80438831602277</v>
      </c>
      <c r="N12" s="84">
        <f t="shared" si="1"/>
        <v>36049.966688874083</v>
      </c>
      <c r="O12" s="174">
        <f t="shared" si="2"/>
        <v>0.82759335833044267</v>
      </c>
      <c r="P12" s="91" t="s">
        <v>72</v>
      </c>
      <c r="Q12" s="92" t="s">
        <v>268</v>
      </c>
      <c r="T12" s="93">
        <v>2.5</v>
      </c>
      <c r="U12" s="94">
        <f t="shared" si="3"/>
        <v>7500</v>
      </c>
      <c r="V12" s="95">
        <v>18750</v>
      </c>
      <c r="W12" s="96">
        <v>7500</v>
      </c>
      <c r="X12" s="97">
        <f t="shared" si="4"/>
        <v>18750</v>
      </c>
    </row>
    <row r="13" spans="1:24" x14ac:dyDescent="0.2">
      <c r="A13" s="79" t="s">
        <v>269</v>
      </c>
      <c r="B13" s="79" t="s">
        <v>270</v>
      </c>
      <c r="C13" s="83">
        <v>44386</v>
      </c>
      <c r="D13" s="84">
        <v>325000</v>
      </c>
      <c r="E13" s="85" t="s">
        <v>32</v>
      </c>
      <c r="F13" s="84">
        <v>325000</v>
      </c>
      <c r="G13" s="84">
        <f>F13-237525</f>
        <v>87475</v>
      </c>
      <c r="H13" s="84">
        <v>42636</v>
      </c>
      <c r="I13" s="159">
        <v>47.373843999999998</v>
      </c>
      <c r="J13" s="88">
        <v>150</v>
      </c>
      <c r="K13" s="166">
        <v>0.17199999999999999</v>
      </c>
      <c r="L13" s="166">
        <v>0.17199999999999999</v>
      </c>
      <c r="M13" s="84">
        <f t="shared" si="0"/>
        <v>1846.4830508581908</v>
      </c>
      <c r="N13" s="84">
        <f t="shared" si="1"/>
        <v>508575.58139534888</v>
      </c>
      <c r="O13" s="174">
        <f t="shared" si="2"/>
        <v>11.675288829094328</v>
      </c>
      <c r="P13" s="91" t="s">
        <v>271</v>
      </c>
      <c r="T13" s="93">
        <v>3</v>
      </c>
      <c r="U13" s="94">
        <f t="shared" si="3"/>
        <v>7000</v>
      </c>
      <c r="V13" s="95">
        <v>21000</v>
      </c>
      <c r="W13" s="96">
        <v>7000</v>
      </c>
      <c r="X13" s="97">
        <f t="shared" si="4"/>
        <v>21000</v>
      </c>
    </row>
    <row r="14" spans="1:24" x14ac:dyDescent="0.2">
      <c r="A14" s="79" t="s">
        <v>272</v>
      </c>
      <c r="B14" s="79" t="s">
        <v>111</v>
      </c>
      <c r="C14" s="83">
        <v>43685</v>
      </c>
      <c r="D14" s="84">
        <v>48500</v>
      </c>
      <c r="E14" s="85" t="s">
        <v>32</v>
      </c>
      <c r="F14" s="84">
        <v>48500</v>
      </c>
      <c r="G14" s="84">
        <f>F14-0</f>
        <v>48500</v>
      </c>
      <c r="H14" s="84">
        <v>37899</v>
      </c>
      <c r="I14" s="159">
        <v>47.373843999999998</v>
      </c>
      <c r="J14" s="88">
        <v>150</v>
      </c>
      <c r="K14" s="166">
        <v>0.17199999999999999</v>
      </c>
      <c r="L14" s="166">
        <v>0.17199999999999999</v>
      </c>
      <c r="M14" s="84">
        <f t="shared" si="0"/>
        <v>1023.7716829565277</v>
      </c>
      <c r="N14" s="84">
        <f t="shared" si="1"/>
        <v>281976.74418604653</v>
      </c>
      <c r="O14" s="174">
        <f t="shared" si="2"/>
        <v>6.4732953210754482</v>
      </c>
      <c r="P14" s="91" t="s">
        <v>271</v>
      </c>
      <c r="Q14" s="79"/>
      <c r="T14" s="93">
        <v>4</v>
      </c>
      <c r="U14" s="94">
        <f t="shared" si="3"/>
        <v>6500</v>
      </c>
      <c r="V14" s="95">
        <v>26000</v>
      </c>
      <c r="W14" s="96">
        <v>6500</v>
      </c>
      <c r="X14" s="97">
        <f t="shared" si="4"/>
        <v>26000</v>
      </c>
    </row>
    <row r="15" spans="1:24" ht="45" x14ac:dyDescent="0.2">
      <c r="A15" s="79" t="s">
        <v>273</v>
      </c>
      <c r="B15" s="79" t="s">
        <v>274</v>
      </c>
      <c r="C15" s="83">
        <v>44550</v>
      </c>
      <c r="D15" s="84">
        <v>279000</v>
      </c>
      <c r="E15" s="85" t="s">
        <v>32</v>
      </c>
      <c r="F15" s="84">
        <v>279000</v>
      </c>
      <c r="G15" s="84">
        <f>F15-219838</f>
        <v>59162</v>
      </c>
      <c r="H15" s="84">
        <v>94562</v>
      </c>
      <c r="I15" s="159">
        <v>187.650824</v>
      </c>
      <c r="J15" s="88">
        <v>544</v>
      </c>
      <c r="K15" s="166">
        <v>0.624</v>
      </c>
      <c r="L15" s="166">
        <v>0.17199999999999999</v>
      </c>
      <c r="M15" s="84">
        <f t="shared" si="0"/>
        <v>315.27705948149742</v>
      </c>
      <c r="N15" s="84">
        <f t="shared" si="1"/>
        <v>94810.897435897437</v>
      </c>
      <c r="O15" s="174">
        <f t="shared" si="2"/>
        <v>2.1765587106496196</v>
      </c>
      <c r="P15" s="91" t="s">
        <v>271</v>
      </c>
      <c r="Q15" s="92" t="s">
        <v>275</v>
      </c>
      <c r="T15" s="93">
        <v>5</v>
      </c>
      <c r="U15" s="94">
        <f t="shared" si="3"/>
        <v>5500</v>
      </c>
      <c r="V15" s="95">
        <v>27500</v>
      </c>
      <c r="W15" s="96">
        <v>5500</v>
      </c>
      <c r="X15" s="97">
        <f t="shared" si="4"/>
        <v>27500</v>
      </c>
    </row>
    <row r="16" spans="1:24" x14ac:dyDescent="0.2">
      <c r="A16" s="79" t="s">
        <v>276</v>
      </c>
      <c r="B16" s="79" t="s">
        <v>111</v>
      </c>
      <c r="C16" s="83">
        <v>43871</v>
      </c>
      <c r="D16" s="84">
        <v>2500</v>
      </c>
      <c r="E16" s="85" t="s">
        <v>32</v>
      </c>
      <c r="F16" s="84">
        <v>2500</v>
      </c>
      <c r="G16" s="84">
        <f>F16-0</f>
        <v>2500</v>
      </c>
      <c r="H16" s="84">
        <v>3753</v>
      </c>
      <c r="I16" s="159">
        <v>37.527234</v>
      </c>
      <c r="J16" s="88">
        <v>100</v>
      </c>
      <c r="K16" s="166">
        <v>9.1999999999999998E-2</v>
      </c>
      <c r="L16" s="166">
        <v>9.1999999999999998E-2</v>
      </c>
      <c r="M16" s="84">
        <f t="shared" si="0"/>
        <v>66.618285802785252</v>
      </c>
      <c r="N16" s="84">
        <f t="shared" si="1"/>
        <v>27173.91304347826</v>
      </c>
      <c r="O16" s="174">
        <f t="shared" si="2"/>
        <v>0.62382720485487286</v>
      </c>
      <c r="P16" s="91" t="s">
        <v>72</v>
      </c>
      <c r="Q16" s="79"/>
      <c r="T16" s="93">
        <v>7</v>
      </c>
      <c r="U16" s="94">
        <f t="shared" si="3"/>
        <v>4500</v>
      </c>
      <c r="V16" s="98">
        <v>31500</v>
      </c>
      <c r="W16" s="96">
        <v>4750</v>
      </c>
      <c r="X16" s="97">
        <f t="shared" si="4"/>
        <v>33250</v>
      </c>
    </row>
    <row r="17" spans="1:24" x14ac:dyDescent="0.2">
      <c r="A17" s="79" t="s">
        <v>277</v>
      </c>
      <c r="B17" s="79" t="s">
        <v>278</v>
      </c>
      <c r="C17" s="83">
        <v>44319</v>
      </c>
      <c r="D17" s="84">
        <v>235000</v>
      </c>
      <c r="E17" s="85" t="s">
        <v>32</v>
      </c>
      <c r="F17" s="84">
        <v>235000</v>
      </c>
      <c r="G17" s="84">
        <f>F17-209629</f>
        <v>25371</v>
      </c>
      <c r="H17" s="84">
        <v>6162</v>
      </c>
      <c r="I17" s="159">
        <v>57.116222999999998</v>
      </c>
      <c r="J17" s="88">
        <v>100</v>
      </c>
      <c r="K17" s="166">
        <v>0.17</v>
      </c>
      <c r="L17" s="166">
        <v>0.22500000000000001</v>
      </c>
      <c r="M17" s="84">
        <f t="shared" si="0"/>
        <v>444.19954029523279</v>
      </c>
      <c r="N17" s="84">
        <f t="shared" si="1"/>
        <v>149241.17647058822</v>
      </c>
      <c r="O17" s="174">
        <f t="shared" si="2"/>
        <v>3.4261059795819153</v>
      </c>
      <c r="P17" s="91" t="s">
        <v>72</v>
      </c>
      <c r="T17" s="93">
        <v>10</v>
      </c>
      <c r="U17" s="94">
        <f>V17/T17</f>
        <v>4250</v>
      </c>
      <c r="V17" s="95">
        <v>42500</v>
      </c>
      <c r="W17" s="96">
        <v>4500</v>
      </c>
      <c r="X17" s="97">
        <f t="shared" si="4"/>
        <v>45000</v>
      </c>
    </row>
    <row r="18" spans="1:24" ht="30" x14ac:dyDescent="0.2">
      <c r="A18" s="79" t="s">
        <v>279</v>
      </c>
      <c r="B18" s="79" t="s">
        <v>111</v>
      </c>
      <c r="C18" s="83">
        <v>44323</v>
      </c>
      <c r="D18" s="84">
        <v>105000</v>
      </c>
      <c r="E18" s="85" t="s">
        <v>32</v>
      </c>
      <c r="F18" s="84">
        <v>105000</v>
      </c>
      <c r="G18" s="84">
        <f>F18-71268</f>
        <v>33732</v>
      </c>
      <c r="H18" s="84">
        <v>11259</v>
      </c>
      <c r="I18" s="159">
        <v>112.58170200000001</v>
      </c>
      <c r="J18" s="88">
        <v>300</v>
      </c>
      <c r="K18" s="166">
        <v>0.27600000000000002</v>
      </c>
      <c r="L18" s="166">
        <v>9.1999999999999998E-2</v>
      </c>
      <c r="M18" s="84">
        <f t="shared" si="0"/>
        <v>299.62240222660694</v>
      </c>
      <c r="N18" s="84">
        <f t="shared" si="1"/>
        <v>122217.39130434781</v>
      </c>
      <c r="O18" s="174">
        <f t="shared" si="2"/>
        <v>2.8057252365552756</v>
      </c>
      <c r="P18" s="91" t="s">
        <v>72</v>
      </c>
      <c r="Q18" s="92" t="s">
        <v>280</v>
      </c>
      <c r="T18" s="93">
        <v>15</v>
      </c>
      <c r="U18" s="94">
        <f t="shared" ref="U18:U24" si="5">V18/T18</f>
        <v>4000</v>
      </c>
      <c r="V18" s="98">
        <v>60000</v>
      </c>
      <c r="W18" s="96">
        <v>4250</v>
      </c>
      <c r="X18" s="97">
        <f t="shared" si="4"/>
        <v>63750</v>
      </c>
    </row>
    <row r="19" spans="1:24" x14ac:dyDescent="0.2">
      <c r="A19" s="79" t="s">
        <v>281</v>
      </c>
      <c r="B19" s="79" t="s">
        <v>282</v>
      </c>
      <c r="C19" s="83">
        <v>44159</v>
      </c>
      <c r="D19" s="84">
        <v>62500</v>
      </c>
      <c r="E19" s="85" t="s">
        <v>32</v>
      </c>
      <c r="F19" s="84">
        <v>62500</v>
      </c>
      <c r="G19" s="84">
        <f>F19-0</f>
        <v>62500</v>
      </c>
      <c r="H19" s="84">
        <v>5930</v>
      </c>
      <c r="I19" s="159">
        <v>58.471626999999998</v>
      </c>
      <c r="J19" s="88">
        <v>98</v>
      </c>
      <c r="K19" s="166">
        <v>0.187</v>
      </c>
      <c r="L19" s="166">
        <v>0.18</v>
      </c>
      <c r="M19" s="84">
        <f t="shared" si="0"/>
        <v>1068.8944913402188</v>
      </c>
      <c r="N19" s="84">
        <f t="shared" si="1"/>
        <v>334224.5989304813</v>
      </c>
      <c r="O19" s="174">
        <f t="shared" si="2"/>
        <v>7.672741022279185</v>
      </c>
      <c r="P19" s="91" t="s">
        <v>72</v>
      </c>
      <c r="Q19" s="79" t="s">
        <v>283</v>
      </c>
      <c r="T19" s="93">
        <v>20</v>
      </c>
      <c r="U19" s="94">
        <f t="shared" si="5"/>
        <v>3750</v>
      </c>
      <c r="V19" s="95">
        <v>75000</v>
      </c>
      <c r="W19" s="96">
        <v>4000</v>
      </c>
      <c r="X19" s="97">
        <f t="shared" si="4"/>
        <v>80000</v>
      </c>
    </row>
    <row r="20" spans="1:24" x14ac:dyDescent="0.2">
      <c r="A20" s="79" t="s">
        <v>284</v>
      </c>
      <c r="B20" s="79" t="s">
        <v>285</v>
      </c>
      <c r="C20" s="83">
        <v>44232</v>
      </c>
      <c r="D20" s="84">
        <v>12000</v>
      </c>
      <c r="E20" s="85" t="s">
        <v>32</v>
      </c>
      <c r="F20" s="84">
        <v>12000</v>
      </c>
      <c r="G20" s="84">
        <f>F20-0</f>
        <v>12000</v>
      </c>
      <c r="H20" s="84">
        <v>5613</v>
      </c>
      <c r="I20" s="159">
        <v>56.131542000000003</v>
      </c>
      <c r="J20" s="88">
        <v>140</v>
      </c>
      <c r="K20" s="166">
        <v>0.19900000000000001</v>
      </c>
      <c r="L20" s="166">
        <v>0.19900000000000001</v>
      </c>
      <c r="M20" s="84">
        <f t="shared" si="0"/>
        <v>213.78354437510373</v>
      </c>
      <c r="N20" s="84">
        <f t="shared" si="1"/>
        <v>60301.507537688442</v>
      </c>
      <c r="O20" s="174">
        <f t="shared" si="2"/>
        <v>1.3843321289643811</v>
      </c>
      <c r="P20" s="91" t="s">
        <v>72</v>
      </c>
      <c r="Q20" s="79" t="s">
        <v>286</v>
      </c>
      <c r="T20" s="93">
        <v>25</v>
      </c>
      <c r="U20" s="94">
        <f t="shared" si="5"/>
        <v>3500</v>
      </c>
      <c r="V20" s="95">
        <v>87500</v>
      </c>
      <c r="W20" s="96">
        <v>3750</v>
      </c>
      <c r="X20" s="97">
        <f t="shared" si="4"/>
        <v>93750</v>
      </c>
    </row>
    <row r="21" spans="1:24" x14ac:dyDescent="0.2">
      <c r="A21" s="79" t="s">
        <v>287</v>
      </c>
      <c r="B21" s="79" t="s">
        <v>285</v>
      </c>
      <c r="C21" s="83">
        <v>43930</v>
      </c>
      <c r="D21" s="84">
        <v>20000</v>
      </c>
      <c r="E21" s="85" t="s">
        <v>32</v>
      </c>
      <c r="F21" s="84">
        <v>20000</v>
      </c>
      <c r="G21" s="84">
        <f>F21-0</f>
        <v>20000</v>
      </c>
      <c r="H21" s="84">
        <v>17265</v>
      </c>
      <c r="I21" s="159">
        <v>49.327367000000002</v>
      </c>
      <c r="J21" s="88">
        <v>120</v>
      </c>
      <c r="K21" s="166">
        <v>0.16500000000000001</v>
      </c>
      <c r="L21" s="166">
        <v>0.16500000000000001</v>
      </c>
      <c r="M21" s="84">
        <f t="shared" si="0"/>
        <v>405.45444073672127</v>
      </c>
      <c r="N21" s="84">
        <f t="shared" si="1"/>
        <v>121212.1212121212</v>
      </c>
      <c r="O21" s="174">
        <f t="shared" si="2"/>
        <v>2.7826474107465842</v>
      </c>
      <c r="P21" s="91" t="s">
        <v>72</v>
      </c>
      <c r="Q21" s="79" t="s">
        <v>288</v>
      </c>
      <c r="T21" s="93">
        <v>30</v>
      </c>
      <c r="U21" s="94">
        <f t="shared" si="5"/>
        <v>3250</v>
      </c>
      <c r="V21" s="95">
        <v>97500</v>
      </c>
      <c r="W21" s="96">
        <v>3500</v>
      </c>
      <c r="X21" s="97">
        <f t="shared" si="4"/>
        <v>105000</v>
      </c>
    </row>
    <row r="22" spans="1:24" x14ac:dyDescent="0.2">
      <c r="A22" s="99"/>
      <c r="B22" s="99"/>
      <c r="C22" s="100" t="s">
        <v>229</v>
      </c>
      <c r="D22" s="143">
        <f>+SUM(D2:D21)</f>
        <v>2041200</v>
      </c>
      <c r="E22" s="102"/>
      <c r="F22" s="143">
        <f>+SUM(F2:F21)</f>
        <v>2041200</v>
      </c>
      <c r="G22" s="143">
        <f>+SUM(G2:G21)</f>
        <v>923850</v>
      </c>
      <c r="H22" s="143">
        <f>+SUM(H2:H21)</f>
        <v>694507</v>
      </c>
      <c r="I22" s="160">
        <f>+SUM(I2:I21)</f>
        <v>1812.1368039999998</v>
      </c>
      <c r="J22" s="104"/>
      <c r="K22" s="137">
        <f>+SUM(K2:K21)</f>
        <v>39.799999999999997</v>
      </c>
      <c r="L22" s="168">
        <f>+SUM(L2:L21)</f>
        <v>38.868999999999986</v>
      </c>
      <c r="M22" s="101"/>
      <c r="N22" s="101"/>
      <c r="O22" s="175"/>
      <c r="P22" s="106"/>
      <c r="Q22" s="99"/>
      <c r="R22" s="99"/>
      <c r="T22" s="93">
        <v>40</v>
      </c>
      <c r="U22" s="94">
        <f t="shared" si="5"/>
        <v>3000</v>
      </c>
      <c r="V22" s="95">
        <v>120000</v>
      </c>
      <c r="W22" s="96">
        <v>3250</v>
      </c>
      <c r="X22" s="97">
        <f t="shared" si="4"/>
        <v>130000</v>
      </c>
    </row>
    <row r="23" spans="1:24" x14ac:dyDescent="0.2">
      <c r="A23" s="99"/>
      <c r="B23" s="99"/>
      <c r="C23" s="100"/>
      <c r="D23" s="101"/>
      <c r="E23" s="102"/>
      <c r="F23" s="101"/>
      <c r="G23" s="101"/>
      <c r="H23" s="101" t="s">
        <v>231</v>
      </c>
      <c r="I23" s="161"/>
      <c r="J23" s="104"/>
      <c r="K23" s="105" t="s">
        <v>231</v>
      </c>
      <c r="L23" s="169"/>
      <c r="M23" s="101"/>
      <c r="N23" s="101" t="s">
        <v>231</v>
      </c>
      <c r="O23" s="175"/>
      <c r="P23" s="106"/>
      <c r="Q23" s="99"/>
      <c r="R23" s="99"/>
      <c r="T23" s="93">
        <v>50</v>
      </c>
      <c r="U23" s="94">
        <f t="shared" si="5"/>
        <v>2750</v>
      </c>
      <c r="V23" s="95">
        <v>137500</v>
      </c>
      <c r="W23" s="96">
        <v>3000</v>
      </c>
      <c r="X23" s="97">
        <f t="shared" si="4"/>
        <v>150000</v>
      </c>
    </row>
    <row r="24" spans="1:24" ht="15.75" thickBot="1" x14ac:dyDescent="0.25">
      <c r="A24" s="107"/>
      <c r="B24" s="107"/>
      <c r="C24" s="108"/>
      <c r="D24" s="109"/>
      <c r="E24" s="110"/>
      <c r="F24" s="109"/>
      <c r="G24" s="109"/>
      <c r="H24" s="109" t="s">
        <v>233</v>
      </c>
      <c r="I24" s="162">
        <f>G22/I22</f>
        <v>509.81250309620668</v>
      </c>
      <c r="J24" s="112"/>
      <c r="K24" s="113" t="s">
        <v>234</v>
      </c>
      <c r="L24" s="170">
        <f>G22/K22</f>
        <v>23212.311557788948</v>
      </c>
      <c r="M24" s="109"/>
      <c r="N24" s="109" t="s">
        <v>235</v>
      </c>
      <c r="O24" s="176">
        <f>G22/K22/43560</f>
        <v>0.53288134889322658</v>
      </c>
      <c r="P24" s="114"/>
      <c r="Q24" s="107"/>
      <c r="R24" s="107"/>
      <c r="T24" s="93">
        <v>100</v>
      </c>
      <c r="U24" s="94">
        <f t="shared" si="5"/>
        <v>2500</v>
      </c>
      <c r="V24" s="98">
        <v>250000</v>
      </c>
      <c r="W24" s="115">
        <v>2750</v>
      </c>
      <c r="X24" s="116">
        <f t="shared" si="4"/>
        <v>275000</v>
      </c>
    </row>
    <row r="26" spans="1:24" ht="30" x14ac:dyDescent="0.25">
      <c r="A26" s="70" t="s">
        <v>0</v>
      </c>
      <c r="B26" s="70" t="s">
        <v>1</v>
      </c>
      <c r="C26" s="71" t="s">
        <v>2</v>
      </c>
      <c r="D26" s="72" t="s">
        <v>3</v>
      </c>
      <c r="E26" s="70" t="s">
        <v>4</v>
      </c>
      <c r="F26" s="152" t="s">
        <v>254</v>
      </c>
      <c r="G26" s="152" t="s">
        <v>255</v>
      </c>
      <c r="H26" s="152" t="s">
        <v>256</v>
      </c>
      <c r="I26" s="157" t="s">
        <v>12</v>
      </c>
      <c r="J26" s="74" t="s">
        <v>13</v>
      </c>
      <c r="K26" s="75" t="s">
        <v>14</v>
      </c>
      <c r="L26" s="167" t="s">
        <v>15</v>
      </c>
      <c r="M26" s="152" t="s">
        <v>257</v>
      </c>
      <c r="N26" s="152" t="s">
        <v>258</v>
      </c>
      <c r="O26" s="172" t="s">
        <v>259</v>
      </c>
      <c r="P26" s="77" t="s">
        <v>20</v>
      </c>
      <c r="Q26" s="78" t="s">
        <v>22</v>
      </c>
    </row>
    <row r="27" spans="1:24" x14ac:dyDescent="0.25">
      <c r="A27" s="79" t="s">
        <v>262</v>
      </c>
      <c r="B27" s="79" t="s">
        <v>263</v>
      </c>
      <c r="C27" s="83">
        <v>44295</v>
      </c>
      <c r="D27" s="84">
        <v>17500</v>
      </c>
      <c r="E27" s="85" t="s">
        <v>32</v>
      </c>
      <c r="F27" s="84">
        <v>17500</v>
      </c>
      <c r="G27" s="84">
        <f>F27-0</f>
        <v>17500</v>
      </c>
      <c r="H27" s="84">
        <v>14895</v>
      </c>
      <c r="I27" s="159">
        <v>350.4</v>
      </c>
      <c r="J27" s="88">
        <v>284.7</v>
      </c>
      <c r="K27" s="89">
        <v>1.83</v>
      </c>
      <c r="L27" s="166">
        <v>1.83</v>
      </c>
      <c r="M27" s="84">
        <f t="shared" ref="M27:M36" si="6">G27/I27</f>
        <v>49.94292237442923</v>
      </c>
      <c r="N27" s="84">
        <f t="shared" ref="N27:N36" si="7">G27/K27</f>
        <v>9562.841530054644</v>
      </c>
      <c r="O27" s="174">
        <f t="shared" ref="O27:O36" si="8">G27/K27/43560</f>
        <v>0.21953263383963828</v>
      </c>
      <c r="P27" s="91" t="s">
        <v>72</v>
      </c>
    </row>
    <row r="28" spans="1:24" x14ac:dyDescent="0.25">
      <c r="A28" s="79" t="s">
        <v>65</v>
      </c>
      <c r="B28" s="79" t="s">
        <v>263</v>
      </c>
      <c r="C28" s="83">
        <v>44702</v>
      </c>
      <c r="D28" s="84">
        <v>125000</v>
      </c>
      <c r="E28" s="85" t="s">
        <v>32</v>
      </c>
      <c r="F28" s="84">
        <v>125000</v>
      </c>
      <c r="G28" s="84">
        <f>F28-0</f>
        <v>125000</v>
      </c>
      <c r="H28" s="84">
        <v>88888</v>
      </c>
      <c r="I28" s="159">
        <v>126.982355</v>
      </c>
      <c r="J28" s="88">
        <v>365</v>
      </c>
      <c r="K28" s="89">
        <v>1.7509999999999999</v>
      </c>
      <c r="L28" s="166">
        <v>1.7509999999999999</v>
      </c>
      <c r="M28" s="84">
        <f t="shared" si="6"/>
        <v>984.38873652957534</v>
      </c>
      <c r="N28" s="84">
        <f t="shared" si="7"/>
        <v>71387.778412335814</v>
      </c>
      <c r="O28" s="174">
        <f t="shared" si="8"/>
        <v>1.6388378882538066</v>
      </c>
      <c r="P28" s="91" t="s">
        <v>67</v>
      </c>
    </row>
    <row r="29" spans="1:24" x14ac:dyDescent="0.25">
      <c r="A29" s="79" t="s">
        <v>267</v>
      </c>
      <c r="B29" s="79" t="s">
        <v>111</v>
      </c>
      <c r="C29" s="83">
        <v>44340</v>
      </c>
      <c r="D29" s="84">
        <v>135000</v>
      </c>
      <c r="E29" s="85" t="s">
        <v>32</v>
      </c>
      <c r="F29" s="84">
        <v>135000</v>
      </c>
      <c r="G29" s="84">
        <f>F29-80889</f>
        <v>54111</v>
      </c>
      <c r="H29" s="84">
        <v>49292</v>
      </c>
      <c r="I29" s="159">
        <v>180.487685</v>
      </c>
      <c r="J29" s="88">
        <v>399</v>
      </c>
      <c r="K29" s="89">
        <v>1.5009999999999999</v>
      </c>
      <c r="L29" s="166">
        <v>1.329</v>
      </c>
      <c r="M29" s="84">
        <f t="shared" si="6"/>
        <v>299.80438831602277</v>
      </c>
      <c r="N29" s="84">
        <f t="shared" si="7"/>
        <v>36049.966688874083</v>
      </c>
      <c r="O29" s="174">
        <f t="shared" si="8"/>
        <v>0.82759335833044267</v>
      </c>
      <c r="P29" s="91" t="s">
        <v>72</v>
      </c>
      <c r="Q29" s="92" t="s">
        <v>268</v>
      </c>
    </row>
    <row r="30" spans="1:24" x14ac:dyDescent="0.25">
      <c r="A30" s="79" t="s">
        <v>276</v>
      </c>
      <c r="B30" s="79" t="s">
        <v>111</v>
      </c>
      <c r="C30" s="83">
        <v>43871</v>
      </c>
      <c r="D30" s="84">
        <v>2500</v>
      </c>
      <c r="E30" s="85" t="s">
        <v>32</v>
      </c>
      <c r="F30" s="84">
        <v>2500</v>
      </c>
      <c r="G30" s="84">
        <f>F30-0</f>
        <v>2500</v>
      </c>
      <c r="H30" s="84">
        <v>3753</v>
      </c>
      <c r="I30" s="159">
        <v>37.527234</v>
      </c>
      <c r="J30" s="88">
        <v>100</v>
      </c>
      <c r="K30" s="89">
        <v>9.1999999999999998E-2</v>
      </c>
      <c r="L30" s="166">
        <v>9.1999999999999998E-2</v>
      </c>
      <c r="M30" s="84">
        <f t="shared" si="6"/>
        <v>66.618285802785252</v>
      </c>
      <c r="N30" s="84">
        <f t="shared" si="7"/>
        <v>27173.91304347826</v>
      </c>
      <c r="O30" s="174">
        <f t="shared" si="8"/>
        <v>0.62382720485487286</v>
      </c>
      <c r="P30" s="91" t="s">
        <v>72</v>
      </c>
      <c r="Q30" s="79"/>
    </row>
    <row r="31" spans="1:24" x14ac:dyDescent="0.25">
      <c r="A31" s="79" t="s">
        <v>277</v>
      </c>
      <c r="B31" s="79" t="s">
        <v>278</v>
      </c>
      <c r="C31" s="83">
        <v>44319</v>
      </c>
      <c r="D31" s="84">
        <v>235000</v>
      </c>
      <c r="E31" s="85" t="s">
        <v>32</v>
      </c>
      <c r="F31" s="84">
        <v>235000</v>
      </c>
      <c r="G31" s="84">
        <f>F31-209629</f>
        <v>25371</v>
      </c>
      <c r="H31" s="84">
        <v>6162</v>
      </c>
      <c r="I31" s="159">
        <v>57.116222999999998</v>
      </c>
      <c r="J31" s="88">
        <v>100</v>
      </c>
      <c r="K31" s="89">
        <v>0.17</v>
      </c>
      <c r="L31" s="166">
        <v>0.22500000000000001</v>
      </c>
      <c r="M31" s="84">
        <f t="shared" si="6"/>
        <v>444.19954029523279</v>
      </c>
      <c r="N31" s="84">
        <f t="shared" si="7"/>
        <v>149241.17647058822</v>
      </c>
      <c r="O31" s="174">
        <f t="shared" si="8"/>
        <v>3.4261059795819153</v>
      </c>
      <c r="P31" s="91" t="s">
        <v>72</v>
      </c>
    </row>
    <row r="32" spans="1:24" ht="30" x14ac:dyDescent="0.25">
      <c r="A32" s="79" t="s">
        <v>279</v>
      </c>
      <c r="B32" s="79" t="s">
        <v>111</v>
      </c>
      <c r="C32" s="83">
        <v>44323</v>
      </c>
      <c r="D32" s="84">
        <v>105000</v>
      </c>
      <c r="E32" s="85" t="s">
        <v>32</v>
      </c>
      <c r="F32" s="84">
        <v>105000</v>
      </c>
      <c r="G32" s="84">
        <f>F32-71268</f>
        <v>33732</v>
      </c>
      <c r="H32" s="84">
        <v>11259</v>
      </c>
      <c r="I32" s="159">
        <v>112.58170200000001</v>
      </c>
      <c r="J32" s="88">
        <v>300</v>
      </c>
      <c r="K32" s="89">
        <v>0.27600000000000002</v>
      </c>
      <c r="L32" s="166">
        <v>9.1999999999999998E-2</v>
      </c>
      <c r="M32" s="84">
        <f t="shared" si="6"/>
        <v>299.62240222660694</v>
      </c>
      <c r="N32" s="84">
        <f t="shared" si="7"/>
        <v>122217.39130434781</v>
      </c>
      <c r="O32" s="174">
        <f t="shared" si="8"/>
        <v>2.8057252365552756</v>
      </c>
      <c r="P32" s="91" t="s">
        <v>72</v>
      </c>
      <c r="Q32" s="92" t="s">
        <v>280</v>
      </c>
    </row>
    <row r="33" spans="1:18" x14ac:dyDescent="0.25">
      <c r="A33" s="79" t="s">
        <v>290</v>
      </c>
      <c r="B33" s="79" t="s">
        <v>291</v>
      </c>
      <c r="C33" s="83">
        <v>44042</v>
      </c>
      <c r="D33" s="84">
        <v>10000</v>
      </c>
      <c r="E33" s="85" t="s">
        <v>32</v>
      </c>
      <c r="F33" s="84">
        <v>10000</v>
      </c>
      <c r="G33" s="84">
        <f>F33-0</f>
        <v>10000</v>
      </c>
      <c r="H33" s="84">
        <v>7373</v>
      </c>
      <c r="I33" s="159">
        <v>92.163771999999994</v>
      </c>
      <c r="J33" s="88">
        <v>106</v>
      </c>
      <c r="K33" s="89">
        <v>0.26400000000000001</v>
      </c>
      <c r="L33" s="166">
        <v>0.26400000000000001</v>
      </c>
      <c r="M33" s="84">
        <f t="shared" si="6"/>
        <v>108.50250356506676</v>
      </c>
      <c r="N33" s="84">
        <f t="shared" si="7"/>
        <v>37878.78787878788</v>
      </c>
      <c r="O33" s="174">
        <f t="shared" si="8"/>
        <v>0.86957731585830766</v>
      </c>
      <c r="P33" s="91" t="s">
        <v>75</v>
      </c>
      <c r="Q33" s="79"/>
    </row>
    <row r="34" spans="1:18" x14ac:dyDescent="0.25">
      <c r="A34" s="79" t="s">
        <v>292</v>
      </c>
      <c r="B34" s="79" t="s">
        <v>293</v>
      </c>
      <c r="C34" s="83">
        <v>44403</v>
      </c>
      <c r="D34" s="84">
        <v>58500</v>
      </c>
      <c r="E34" s="85" t="s">
        <v>32</v>
      </c>
      <c r="F34" s="84">
        <v>58500</v>
      </c>
      <c r="G34" s="84">
        <f>F34-55243</f>
        <v>3257</v>
      </c>
      <c r="H34" s="84">
        <v>12752</v>
      </c>
      <c r="I34" s="159">
        <v>141.68629899999999</v>
      </c>
      <c r="J34" s="88">
        <v>112.5</v>
      </c>
      <c r="K34" s="89">
        <v>0.51700000000000002</v>
      </c>
      <c r="L34" s="166">
        <v>0.51700000000000002</v>
      </c>
      <c r="M34" s="84">
        <f t="shared" si="6"/>
        <v>22.987402613995869</v>
      </c>
      <c r="N34" s="84">
        <f t="shared" si="7"/>
        <v>6299.8065764023213</v>
      </c>
      <c r="O34" s="174">
        <f t="shared" si="8"/>
        <v>0.14462365877874933</v>
      </c>
      <c r="P34" s="91" t="s">
        <v>75</v>
      </c>
    </row>
    <row r="35" spans="1:18" x14ac:dyDescent="0.25">
      <c r="A35" s="79" t="s">
        <v>284</v>
      </c>
      <c r="B35" s="79" t="s">
        <v>285</v>
      </c>
      <c r="C35" s="83">
        <v>44232</v>
      </c>
      <c r="D35" s="84">
        <v>12000</v>
      </c>
      <c r="E35" s="85" t="s">
        <v>32</v>
      </c>
      <c r="F35" s="84">
        <v>12000</v>
      </c>
      <c r="G35" s="84">
        <f>F35-0</f>
        <v>12000</v>
      </c>
      <c r="H35" s="84">
        <v>5613</v>
      </c>
      <c r="I35" s="159">
        <v>56.131542000000003</v>
      </c>
      <c r="J35" s="88">
        <v>140</v>
      </c>
      <c r="K35" s="89">
        <v>0.19900000000000001</v>
      </c>
      <c r="L35" s="166">
        <v>0.19900000000000001</v>
      </c>
      <c r="M35" s="84">
        <f t="shared" si="6"/>
        <v>213.78354437510373</v>
      </c>
      <c r="N35" s="84">
        <f t="shared" si="7"/>
        <v>60301.507537688442</v>
      </c>
      <c r="O35" s="174">
        <f t="shared" si="8"/>
        <v>1.3843321289643811</v>
      </c>
      <c r="P35" s="91" t="s">
        <v>72</v>
      </c>
      <c r="Q35" s="79" t="s">
        <v>286</v>
      </c>
    </row>
    <row r="36" spans="1:18" x14ac:dyDescent="0.25">
      <c r="A36" s="79" t="s">
        <v>287</v>
      </c>
      <c r="B36" s="79" t="s">
        <v>285</v>
      </c>
      <c r="C36" s="83">
        <v>43930</v>
      </c>
      <c r="D36" s="84">
        <v>20000</v>
      </c>
      <c r="E36" s="85" t="s">
        <v>32</v>
      </c>
      <c r="F36" s="84">
        <v>20000</v>
      </c>
      <c r="G36" s="84">
        <f>F36-0</f>
        <v>20000</v>
      </c>
      <c r="H36" s="84">
        <v>17265</v>
      </c>
      <c r="I36" s="159">
        <v>49.327367000000002</v>
      </c>
      <c r="J36" s="88">
        <v>120</v>
      </c>
      <c r="K36" s="89">
        <v>0.16500000000000001</v>
      </c>
      <c r="L36" s="166">
        <v>0.16500000000000001</v>
      </c>
      <c r="M36" s="84">
        <f t="shared" si="6"/>
        <v>405.45444073672127</v>
      </c>
      <c r="N36" s="84">
        <f t="shared" si="7"/>
        <v>121212.1212121212</v>
      </c>
      <c r="O36" s="174">
        <f t="shared" si="8"/>
        <v>2.7826474107465842</v>
      </c>
      <c r="P36" s="91" t="s">
        <v>72</v>
      </c>
      <c r="Q36" s="79" t="s">
        <v>288</v>
      </c>
    </row>
    <row r="37" spans="1:18" x14ac:dyDescent="0.25">
      <c r="A37" s="99"/>
      <c r="B37" s="99"/>
      <c r="C37" s="100" t="s">
        <v>229</v>
      </c>
      <c r="D37" s="103">
        <f>+SUM(D27:D36)</f>
        <v>720500</v>
      </c>
      <c r="E37" s="99"/>
      <c r="F37" s="101">
        <f>+SUM(F27:F36)</f>
        <v>720500</v>
      </c>
      <c r="G37" s="101">
        <f>+SUM(G27:G36)</f>
        <v>303471</v>
      </c>
      <c r="H37" s="101">
        <f>+SUM(H27:H36)</f>
        <v>217252</v>
      </c>
      <c r="I37" s="161">
        <f>+SUM(I27:I36)</f>
        <v>1204.4041790000003</v>
      </c>
      <c r="J37" s="104"/>
      <c r="K37" s="105">
        <f>+SUM(K27:K36)</f>
        <v>6.7649999999999997</v>
      </c>
      <c r="L37" s="169">
        <f>+SUM(L27:L36)</f>
        <v>6.4639999999999995</v>
      </c>
      <c r="M37" s="101"/>
      <c r="N37" s="101"/>
      <c r="O37" s="175"/>
      <c r="P37" s="106"/>
      <c r="Q37" s="99"/>
    </row>
    <row r="38" spans="1:18" x14ac:dyDescent="0.25">
      <c r="A38" s="99"/>
      <c r="B38" s="99"/>
      <c r="C38" s="100"/>
      <c r="D38" s="103"/>
      <c r="E38" s="99"/>
      <c r="F38" s="101"/>
      <c r="G38" s="101"/>
      <c r="H38" s="101" t="s">
        <v>231</v>
      </c>
      <c r="I38" s="161"/>
      <c r="J38" s="104"/>
      <c r="K38" s="105" t="s">
        <v>231</v>
      </c>
      <c r="L38" s="169"/>
      <c r="M38" s="101"/>
      <c r="N38" s="101" t="s">
        <v>231</v>
      </c>
      <c r="O38" s="175"/>
      <c r="P38" s="106"/>
      <c r="Q38" s="99"/>
      <c r="R38" s="99"/>
    </row>
    <row r="39" spans="1:18" x14ac:dyDescent="0.25">
      <c r="A39" s="107"/>
      <c r="B39" s="107"/>
      <c r="C39" s="108"/>
      <c r="D39" s="111"/>
      <c r="E39" s="107"/>
      <c r="F39" s="109"/>
      <c r="G39" s="109"/>
      <c r="H39" s="109" t="s">
        <v>233</v>
      </c>
      <c r="I39" s="162">
        <f>G37/I37</f>
        <v>251.96774080605371</v>
      </c>
      <c r="J39" s="112"/>
      <c r="K39" s="113" t="s">
        <v>234</v>
      </c>
      <c r="L39" s="170">
        <f>G37/K37</f>
        <v>44858.980044345903</v>
      </c>
      <c r="M39" s="109"/>
      <c r="N39" s="109" t="s">
        <v>235</v>
      </c>
      <c r="O39" s="176">
        <f>G37/K37/43560</f>
        <v>1.0298204785203375</v>
      </c>
      <c r="P39" s="114"/>
      <c r="Q39" s="107"/>
      <c r="R39" s="99"/>
    </row>
    <row r="40" spans="1:18" x14ac:dyDescent="0.25">
      <c r="D40" s="86"/>
      <c r="E40" s="79"/>
      <c r="Q40" s="79"/>
    </row>
    <row r="41" spans="1:18" ht="30" x14ac:dyDescent="0.25">
      <c r="A41" s="70" t="s">
        <v>0</v>
      </c>
      <c r="B41" s="70" t="s">
        <v>1</v>
      </c>
      <c r="C41" s="71" t="s">
        <v>2</v>
      </c>
      <c r="D41" s="72" t="s">
        <v>3</v>
      </c>
      <c r="E41" s="70" t="s">
        <v>4</v>
      </c>
      <c r="F41" s="152" t="s">
        <v>254</v>
      </c>
      <c r="G41" s="152" t="s">
        <v>255</v>
      </c>
      <c r="H41" s="152" t="s">
        <v>256</v>
      </c>
      <c r="I41" s="157" t="s">
        <v>12</v>
      </c>
      <c r="J41" s="74" t="s">
        <v>13</v>
      </c>
      <c r="K41" s="75" t="s">
        <v>14</v>
      </c>
      <c r="L41" s="167" t="s">
        <v>15</v>
      </c>
      <c r="M41" s="152" t="s">
        <v>257</v>
      </c>
      <c r="N41" s="152" t="s">
        <v>258</v>
      </c>
      <c r="O41" s="172" t="s">
        <v>259</v>
      </c>
      <c r="P41" s="77" t="s">
        <v>20</v>
      </c>
      <c r="Q41" s="78" t="s">
        <v>22</v>
      </c>
    </row>
    <row r="42" spans="1:18" x14ac:dyDescent="0.25">
      <c r="A42" s="118" t="s">
        <v>272</v>
      </c>
      <c r="B42" s="118" t="s">
        <v>111</v>
      </c>
      <c r="C42" s="119">
        <v>43685</v>
      </c>
      <c r="D42" s="120">
        <v>48500</v>
      </c>
      <c r="E42" s="121" t="s">
        <v>32</v>
      </c>
      <c r="F42" s="120">
        <v>48500</v>
      </c>
      <c r="G42" s="120">
        <f>F42-0</f>
        <v>48500</v>
      </c>
      <c r="H42" s="120">
        <v>37899</v>
      </c>
      <c r="I42" s="163">
        <v>47.373843999999998</v>
      </c>
      <c r="J42" s="122">
        <v>150</v>
      </c>
      <c r="K42" s="123">
        <v>0.17199999999999999</v>
      </c>
      <c r="L42" s="171">
        <v>0.17199999999999999</v>
      </c>
      <c r="M42" s="120">
        <f>G42/I42</f>
        <v>1023.7716829565277</v>
      </c>
      <c r="N42" s="120">
        <f>G42/K42</f>
        <v>281976.74418604653</v>
      </c>
      <c r="O42" s="177">
        <f>G42/K42/43560</f>
        <v>6.4732953210754482</v>
      </c>
      <c r="P42" s="124" t="s">
        <v>271</v>
      </c>
      <c r="Q42" s="118"/>
    </row>
    <row r="43" spans="1:18" x14ac:dyDescent="0.25">
      <c r="A43" s="79" t="s">
        <v>269</v>
      </c>
      <c r="B43" s="79" t="s">
        <v>270</v>
      </c>
      <c r="C43" s="83">
        <v>44386</v>
      </c>
      <c r="D43" s="84">
        <v>325000</v>
      </c>
      <c r="E43" s="85" t="s">
        <v>32</v>
      </c>
      <c r="F43" s="84">
        <v>325000</v>
      </c>
      <c r="G43" s="84">
        <f>F43-237525</f>
        <v>87475</v>
      </c>
      <c r="H43" s="84">
        <v>42636</v>
      </c>
      <c r="I43" s="159">
        <v>47.373843999999998</v>
      </c>
      <c r="J43" s="88">
        <v>150</v>
      </c>
      <c r="K43" s="89">
        <v>0.17199999999999999</v>
      </c>
      <c r="L43" s="166">
        <v>0.17199999999999999</v>
      </c>
      <c r="M43" s="84">
        <f>G43/I43</f>
        <v>1846.4830508581908</v>
      </c>
      <c r="N43" s="84">
        <f>G43/K43</f>
        <v>508575.58139534888</v>
      </c>
      <c r="O43" s="174">
        <f>G43/K43/43560</f>
        <v>11.675288829094328</v>
      </c>
      <c r="P43" s="91" t="s">
        <v>271</v>
      </c>
    </row>
    <row r="44" spans="1:18" x14ac:dyDescent="0.25">
      <c r="A44" s="99"/>
      <c r="B44" s="99"/>
      <c r="C44" s="100" t="s">
        <v>229</v>
      </c>
      <c r="D44" s="103">
        <f>+SUM(D42:D43)</f>
        <v>373500</v>
      </c>
      <c r="E44" s="99"/>
      <c r="F44" s="101">
        <f>+SUM(F42:F43)</f>
        <v>373500</v>
      </c>
      <c r="G44" s="101">
        <f>+SUM(G42:G43)</f>
        <v>135975</v>
      </c>
      <c r="H44" s="101">
        <f>+SUM(H42:H43)</f>
        <v>80535</v>
      </c>
      <c r="I44" s="161">
        <f>+SUM(I42:I43)</f>
        <v>94.747687999999997</v>
      </c>
      <c r="J44" s="104"/>
      <c r="K44" s="105">
        <f>+SUM(K42:K43)</f>
        <v>0.34399999999999997</v>
      </c>
      <c r="L44" s="169">
        <f>+SUM(L42:L43)</f>
        <v>0.34399999999999997</v>
      </c>
      <c r="M44" s="101"/>
      <c r="N44" s="101"/>
      <c r="O44" s="175"/>
      <c r="P44" s="106"/>
      <c r="Q44" s="99"/>
    </row>
    <row r="45" spans="1:18" x14ac:dyDescent="0.25">
      <c r="A45" s="99"/>
      <c r="B45" s="99"/>
      <c r="C45" s="100"/>
      <c r="D45" s="103"/>
      <c r="E45" s="99"/>
      <c r="F45" s="101"/>
      <c r="G45" s="101"/>
      <c r="H45" s="101" t="s">
        <v>231</v>
      </c>
      <c r="I45" s="161"/>
      <c r="J45" s="104"/>
      <c r="K45" s="105" t="s">
        <v>231</v>
      </c>
      <c r="L45" s="169"/>
      <c r="M45" s="101"/>
      <c r="N45" s="101" t="s">
        <v>231</v>
      </c>
      <c r="O45" s="175"/>
      <c r="P45" s="106"/>
      <c r="Q45" s="99"/>
    </row>
    <row r="46" spans="1:18" x14ac:dyDescent="0.25">
      <c r="A46" s="107"/>
      <c r="B46" s="107"/>
      <c r="C46" s="108"/>
      <c r="D46" s="111"/>
      <c r="E46" s="107"/>
      <c r="F46" s="109"/>
      <c r="G46" s="109"/>
      <c r="H46" s="109" t="s">
        <v>233</v>
      </c>
      <c r="I46" s="162">
        <f>G44/I44</f>
        <v>1435.1273669073594</v>
      </c>
      <c r="J46" s="112"/>
      <c r="K46" s="113" t="s">
        <v>234</v>
      </c>
      <c r="L46" s="170">
        <f>G44/K44</f>
        <v>395276.16279069771</v>
      </c>
      <c r="M46" s="109"/>
      <c r="N46" s="109" t="s">
        <v>235</v>
      </c>
      <c r="O46" s="176">
        <f>G44/K44/43560</f>
        <v>9.0742920750848874</v>
      </c>
      <c r="P46" s="114"/>
      <c r="Q46" s="107"/>
    </row>
    <row r="47" spans="1:18" x14ac:dyDescent="0.25">
      <c r="A47" s="99"/>
      <c r="B47" s="99"/>
      <c r="C47" s="100"/>
      <c r="D47" s="103"/>
      <c r="E47" s="99"/>
      <c r="F47" s="101"/>
      <c r="G47" s="101"/>
      <c r="H47" s="101"/>
      <c r="I47" s="392"/>
      <c r="J47" s="104"/>
      <c r="K47" s="105"/>
      <c r="L47" s="169"/>
      <c r="M47" s="101"/>
      <c r="N47" s="101"/>
      <c r="O47" s="175"/>
      <c r="P47" s="106"/>
      <c r="Q47" s="99"/>
    </row>
    <row r="48" spans="1:18" x14ac:dyDescent="0.25">
      <c r="A48" s="399" t="s">
        <v>248</v>
      </c>
      <c r="B48" s="399"/>
      <c r="C48" s="125"/>
      <c r="D48" s="126" t="s">
        <v>250</v>
      </c>
      <c r="E48" s="126"/>
      <c r="F48" s="153"/>
      <c r="G48" s="395" t="s">
        <v>294</v>
      </c>
      <c r="H48" s="395"/>
      <c r="I48" s="395"/>
      <c r="J48" s="127">
        <v>1</v>
      </c>
      <c r="K48" s="128">
        <f>X9</f>
        <v>9000</v>
      </c>
      <c r="L48" s="127">
        <v>3</v>
      </c>
      <c r="M48" s="128">
        <f>X13</f>
        <v>21000</v>
      </c>
      <c r="N48" s="127">
        <v>10</v>
      </c>
      <c r="O48" s="128">
        <f>X17</f>
        <v>45000</v>
      </c>
      <c r="P48" s="127">
        <v>30</v>
      </c>
      <c r="Q48" s="128">
        <f>X21</f>
        <v>105000</v>
      </c>
    </row>
    <row r="49" spans="1:18" x14ac:dyDescent="0.25">
      <c r="A49" s="400" t="s">
        <v>295</v>
      </c>
      <c r="B49" s="400"/>
      <c r="C49" s="400"/>
      <c r="D49" s="129">
        <v>1200</v>
      </c>
      <c r="E49" s="130"/>
      <c r="F49" s="153"/>
      <c r="G49" s="117"/>
      <c r="H49" s="155"/>
      <c r="I49" s="164"/>
      <c r="J49" s="131">
        <v>1.5</v>
      </c>
      <c r="K49" s="132">
        <f t="shared" ref="K49:K51" si="9">X10</f>
        <v>12750</v>
      </c>
      <c r="L49" s="131">
        <v>4</v>
      </c>
      <c r="M49" s="132">
        <f t="shared" ref="M49:M51" si="10">X14</f>
        <v>26000</v>
      </c>
      <c r="N49" s="131">
        <v>15</v>
      </c>
      <c r="O49" s="132">
        <f t="shared" ref="O49:O51" si="11">X18</f>
        <v>63750</v>
      </c>
      <c r="P49" s="131">
        <v>40</v>
      </c>
      <c r="Q49" s="132">
        <f t="shared" ref="Q49:Q51" si="12">X22</f>
        <v>130000</v>
      </c>
    </row>
    <row r="50" spans="1:18" x14ac:dyDescent="0.25">
      <c r="A50" s="396" t="s">
        <v>296</v>
      </c>
      <c r="B50" s="396"/>
      <c r="C50" s="396"/>
      <c r="D50" s="130">
        <v>150</v>
      </c>
      <c r="E50" s="130"/>
      <c r="F50" s="154"/>
      <c r="G50" s="117"/>
      <c r="H50" s="155"/>
      <c r="I50" s="164"/>
      <c r="J50" s="127">
        <v>2</v>
      </c>
      <c r="K50" s="128">
        <f t="shared" si="9"/>
        <v>16000</v>
      </c>
      <c r="L50" s="127">
        <v>5</v>
      </c>
      <c r="M50" s="128">
        <f t="shared" si="10"/>
        <v>27500</v>
      </c>
      <c r="N50" s="127">
        <v>20</v>
      </c>
      <c r="O50" s="128">
        <f t="shared" si="11"/>
        <v>80000</v>
      </c>
      <c r="P50" s="127">
        <v>50</v>
      </c>
      <c r="Q50" s="128">
        <f t="shared" si="12"/>
        <v>150000</v>
      </c>
    </row>
    <row r="51" spans="1:18" x14ac:dyDescent="0.25">
      <c r="A51" s="401" t="s">
        <v>297</v>
      </c>
      <c r="B51" s="401"/>
      <c r="C51" s="401"/>
      <c r="D51" s="134">
        <v>450</v>
      </c>
      <c r="E51" s="130"/>
      <c r="F51" s="154"/>
      <c r="G51" s="117"/>
      <c r="H51" s="156"/>
      <c r="I51" s="156"/>
      <c r="J51" s="131">
        <v>2.5</v>
      </c>
      <c r="K51" s="132">
        <f t="shared" si="9"/>
        <v>18750</v>
      </c>
      <c r="L51" s="131">
        <v>7</v>
      </c>
      <c r="M51" s="132">
        <f t="shared" si="10"/>
        <v>33250</v>
      </c>
      <c r="N51" s="131">
        <v>25</v>
      </c>
      <c r="O51" s="132">
        <f t="shared" si="11"/>
        <v>93750</v>
      </c>
      <c r="P51" s="131">
        <v>100</v>
      </c>
      <c r="Q51" s="132">
        <f t="shared" si="12"/>
        <v>275000</v>
      </c>
    </row>
    <row r="52" spans="1:18" x14ac:dyDescent="0.25">
      <c r="A52" s="396" t="s">
        <v>298</v>
      </c>
      <c r="B52" s="396"/>
      <c r="C52" s="396"/>
      <c r="D52" s="130">
        <v>144</v>
      </c>
      <c r="E52" s="130"/>
      <c r="F52" s="154"/>
      <c r="G52" s="143"/>
      <c r="H52" s="143"/>
      <c r="I52" s="143"/>
      <c r="J52" s="135"/>
      <c r="K52" s="136"/>
      <c r="L52" s="168"/>
      <c r="M52" s="168"/>
      <c r="N52" s="143"/>
      <c r="O52" s="143"/>
      <c r="P52" s="138"/>
      <c r="Q52" s="137"/>
    </row>
    <row r="53" spans="1:18" x14ac:dyDescent="0.25">
      <c r="A53" s="397" t="s">
        <v>299</v>
      </c>
      <c r="B53" s="397"/>
      <c r="C53" s="397"/>
      <c r="D53" s="139">
        <v>108</v>
      </c>
      <c r="E53" s="130"/>
      <c r="F53" s="154"/>
      <c r="G53" s="395" t="s">
        <v>300</v>
      </c>
      <c r="H53" s="395"/>
      <c r="I53" s="395"/>
      <c r="J53" s="140">
        <v>1</v>
      </c>
      <c r="K53" s="141">
        <v>9000</v>
      </c>
      <c r="L53" s="140">
        <v>3</v>
      </c>
      <c r="M53" s="141">
        <v>21000</v>
      </c>
      <c r="N53" s="140">
        <v>10</v>
      </c>
      <c r="O53" s="141">
        <v>45000</v>
      </c>
      <c r="P53" s="140">
        <v>30</v>
      </c>
      <c r="Q53" s="141">
        <v>105000</v>
      </c>
    </row>
    <row r="54" spans="1:18" x14ac:dyDescent="0.25">
      <c r="A54" s="396" t="s">
        <v>301</v>
      </c>
      <c r="B54" s="396"/>
      <c r="C54" s="396"/>
      <c r="D54" s="130">
        <v>840</v>
      </c>
      <c r="E54" s="130"/>
      <c r="F54" s="154"/>
      <c r="G54" s="117"/>
      <c r="H54" s="155"/>
      <c r="I54" s="164"/>
      <c r="J54" s="131">
        <v>1.5</v>
      </c>
      <c r="K54" s="132">
        <v>12750</v>
      </c>
      <c r="L54" s="131">
        <v>4</v>
      </c>
      <c r="M54" s="132">
        <v>26000</v>
      </c>
      <c r="N54" s="131">
        <v>15</v>
      </c>
      <c r="O54" s="132">
        <v>63750</v>
      </c>
      <c r="P54" s="131">
        <v>40</v>
      </c>
      <c r="Q54" s="132">
        <v>130000</v>
      </c>
    </row>
    <row r="55" spans="1:18" x14ac:dyDescent="0.25">
      <c r="C55" s="142"/>
      <c r="D55" s="143"/>
      <c r="E55" s="143"/>
      <c r="F55" s="153"/>
      <c r="G55" s="117"/>
      <c r="H55" s="155"/>
      <c r="I55" s="164"/>
      <c r="J55" s="140">
        <v>2</v>
      </c>
      <c r="K55" s="141">
        <v>16000</v>
      </c>
      <c r="L55" s="140">
        <v>5</v>
      </c>
      <c r="M55" s="141">
        <v>27500</v>
      </c>
      <c r="N55" s="140">
        <v>20</v>
      </c>
      <c r="O55" s="141">
        <v>80000</v>
      </c>
      <c r="P55" s="140">
        <v>50</v>
      </c>
      <c r="Q55" s="141">
        <v>150000</v>
      </c>
    </row>
    <row r="56" spans="1:18" x14ac:dyDescent="0.25">
      <c r="C56" s="142"/>
      <c r="D56" s="143"/>
      <c r="E56" s="143"/>
      <c r="F56" s="153"/>
      <c r="G56" s="117"/>
      <c r="H56" s="156"/>
      <c r="I56" s="156"/>
      <c r="J56" s="131">
        <v>2.5</v>
      </c>
      <c r="K56" s="132">
        <v>18750</v>
      </c>
      <c r="L56" s="131">
        <v>7</v>
      </c>
      <c r="M56" s="132">
        <v>33250</v>
      </c>
      <c r="N56" s="131">
        <v>25</v>
      </c>
      <c r="O56" s="132">
        <v>93750</v>
      </c>
      <c r="P56" s="131">
        <v>100</v>
      </c>
      <c r="Q56" s="132">
        <v>275000</v>
      </c>
    </row>
    <row r="57" spans="1:18" x14ac:dyDescent="0.25">
      <c r="C57" s="142"/>
      <c r="D57" s="143"/>
      <c r="E57" s="143"/>
      <c r="F57" s="153"/>
      <c r="I57" s="84"/>
      <c r="J57" s="87"/>
      <c r="K57" s="88"/>
      <c r="M57" s="166"/>
      <c r="O57" s="84"/>
      <c r="P57" s="90"/>
      <c r="Q57" s="117"/>
    </row>
    <row r="58" spans="1:18" x14ac:dyDescent="0.25">
      <c r="C58" s="142"/>
      <c r="E58" s="84"/>
      <c r="F58" s="117"/>
      <c r="G58" s="395" t="s">
        <v>302</v>
      </c>
      <c r="H58" s="395"/>
      <c r="I58" s="395"/>
      <c r="J58" s="144">
        <v>1</v>
      </c>
      <c r="K58" s="145">
        <v>9000</v>
      </c>
      <c r="L58" s="144">
        <v>3</v>
      </c>
      <c r="M58" s="145">
        <v>21000</v>
      </c>
      <c r="N58" s="144">
        <v>10</v>
      </c>
      <c r="O58" s="145">
        <v>45000</v>
      </c>
      <c r="P58" s="144">
        <v>30</v>
      </c>
      <c r="Q58" s="145">
        <v>105000</v>
      </c>
    </row>
    <row r="59" spans="1:18" x14ac:dyDescent="0.25">
      <c r="C59" s="142"/>
      <c r="E59" s="84"/>
      <c r="F59" s="117"/>
      <c r="G59" s="117"/>
      <c r="H59" s="155"/>
      <c r="I59" s="164"/>
      <c r="J59" s="131">
        <v>1.5</v>
      </c>
      <c r="K59" s="132">
        <v>12750</v>
      </c>
      <c r="L59" s="131">
        <v>4</v>
      </c>
      <c r="M59" s="132">
        <v>26000</v>
      </c>
      <c r="N59" s="131">
        <v>15</v>
      </c>
      <c r="O59" s="132">
        <v>63750</v>
      </c>
      <c r="P59" s="131">
        <v>40</v>
      </c>
      <c r="Q59" s="132">
        <v>130000</v>
      </c>
    </row>
    <row r="60" spans="1:18" x14ac:dyDescent="0.25">
      <c r="A60" s="398" t="s">
        <v>303</v>
      </c>
      <c r="B60" s="398"/>
      <c r="C60" s="398"/>
      <c r="D60" s="398"/>
      <c r="E60" s="398"/>
      <c r="F60" s="398"/>
      <c r="G60" s="398"/>
      <c r="H60" s="398"/>
      <c r="I60" s="164"/>
      <c r="J60" s="144">
        <v>2</v>
      </c>
      <c r="K60" s="145">
        <v>16000</v>
      </c>
      <c r="L60" s="144">
        <v>5</v>
      </c>
      <c r="M60" s="145">
        <v>27500</v>
      </c>
      <c r="N60" s="144">
        <v>20</v>
      </c>
      <c r="O60" s="145">
        <v>80000</v>
      </c>
      <c r="P60" s="144">
        <v>50</v>
      </c>
      <c r="Q60" s="145">
        <v>150000</v>
      </c>
    </row>
    <row r="61" spans="1:18" x14ac:dyDescent="0.25">
      <c r="E61" s="84"/>
      <c r="F61" s="117"/>
      <c r="I61" s="84"/>
      <c r="J61" s="131">
        <v>2.5</v>
      </c>
      <c r="K61" s="132">
        <v>18750</v>
      </c>
      <c r="L61" s="131">
        <v>7</v>
      </c>
      <c r="M61" s="132">
        <v>33250</v>
      </c>
      <c r="N61" s="131">
        <v>25</v>
      </c>
      <c r="O61" s="132">
        <v>93750</v>
      </c>
      <c r="P61" s="131">
        <v>100</v>
      </c>
      <c r="Q61" s="132">
        <v>275000</v>
      </c>
      <c r="R61" s="92"/>
    </row>
    <row r="63" spans="1:18" x14ac:dyDescent="0.25">
      <c r="G63" s="395" t="s">
        <v>304</v>
      </c>
      <c r="H63" s="395"/>
      <c r="I63" s="395"/>
      <c r="J63" s="146">
        <v>1</v>
      </c>
      <c r="K63" s="147">
        <v>50000</v>
      </c>
      <c r="L63" s="146">
        <v>3</v>
      </c>
      <c r="M63" s="147">
        <v>76500</v>
      </c>
      <c r="N63" s="146">
        <v>10</v>
      </c>
      <c r="O63" s="147">
        <v>90000</v>
      </c>
      <c r="P63" s="146">
        <v>30</v>
      </c>
      <c r="Q63" s="147">
        <v>112500</v>
      </c>
    </row>
    <row r="64" spans="1:18" x14ac:dyDescent="0.25">
      <c r="G64" s="117"/>
      <c r="H64" s="155"/>
      <c r="I64" s="164"/>
      <c r="J64" s="131">
        <v>1.5</v>
      </c>
      <c r="K64" s="132">
        <v>60000</v>
      </c>
      <c r="L64" s="131">
        <v>4</v>
      </c>
      <c r="M64" s="132">
        <v>80000</v>
      </c>
      <c r="N64" s="131">
        <v>15</v>
      </c>
      <c r="O64" s="132">
        <v>93750</v>
      </c>
      <c r="P64" s="131">
        <v>40</v>
      </c>
      <c r="Q64" s="132">
        <v>130000</v>
      </c>
    </row>
    <row r="65" spans="7:17" x14ac:dyDescent="0.25">
      <c r="G65" s="117"/>
      <c r="H65" s="155"/>
      <c r="I65" s="164"/>
      <c r="J65" s="146">
        <v>2</v>
      </c>
      <c r="K65" s="147">
        <v>70000</v>
      </c>
      <c r="L65" s="146">
        <v>5</v>
      </c>
      <c r="M65" s="147">
        <v>85000</v>
      </c>
      <c r="N65" s="146">
        <v>20</v>
      </c>
      <c r="O65" s="147">
        <v>100000</v>
      </c>
      <c r="P65" s="146">
        <v>50</v>
      </c>
      <c r="Q65" s="147">
        <v>150000</v>
      </c>
    </row>
    <row r="66" spans="7:17" x14ac:dyDescent="0.25">
      <c r="G66" s="117"/>
      <c r="H66" s="156"/>
      <c r="I66" s="156"/>
      <c r="J66" s="131">
        <v>2.5</v>
      </c>
      <c r="K66" s="132">
        <v>75000</v>
      </c>
      <c r="L66" s="131">
        <v>7</v>
      </c>
      <c r="M66" s="132">
        <v>87500</v>
      </c>
      <c r="N66" s="131">
        <v>25</v>
      </c>
      <c r="O66" s="132">
        <v>106250</v>
      </c>
      <c r="P66" s="131">
        <v>100</v>
      </c>
      <c r="Q66" s="132">
        <v>275000</v>
      </c>
    </row>
  </sheetData>
  <mergeCells count="12">
    <mergeCell ref="A48:B48"/>
    <mergeCell ref="G48:I48"/>
    <mergeCell ref="A49:C49"/>
    <mergeCell ref="A50:C50"/>
    <mergeCell ref="A51:C51"/>
    <mergeCell ref="G63:I63"/>
    <mergeCell ref="A52:C52"/>
    <mergeCell ref="A53:C53"/>
    <mergeCell ref="G53:I53"/>
    <mergeCell ref="A54:C54"/>
    <mergeCell ref="G58:I58"/>
    <mergeCell ref="A60:H60"/>
  </mergeCells>
  <pageMargins left="0.25" right="0.25" top="0.75" bottom="0.75" header="0.3" footer="0.3"/>
  <pageSetup scale="45" orientation="landscape" r:id="rId1"/>
  <headerFooter>
    <oddHeader xml:space="preserve">&amp;L&amp;"Baskerville Old Face,Bold"&amp;20Dayton Township Cat Lake Subs - No Lake &amp;C&amp;"Baskerville Old Face,Bold"&amp;20 2025 Land Value Analysis and Determination&amp;R&amp;"Baskerville Old Face,Regular"&amp;16
</oddHeader>
    <oddFooter>&amp;L&amp;"Baskerville Old Face,Regular"&amp;16&amp;A&amp;C&amp;"Baguet Script,Bold"&amp;20Mid-Michigan Assessing Services, LLC</oddFooter>
  </headerFooter>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8BEB-F257-46EA-920A-C7EA06FE0386}">
  <sheetPr>
    <pageSetUpPr fitToPage="1"/>
  </sheetPr>
  <dimension ref="A1:W22"/>
  <sheetViews>
    <sheetView tabSelected="1" view="pageLayout" zoomScaleNormal="100" workbookViewId="0">
      <selection activeCell="G17" sqref="G17"/>
    </sheetView>
  </sheetViews>
  <sheetFormatPr defaultRowHeight="15" x14ac:dyDescent="0.25"/>
  <cols>
    <col min="1" max="1" width="19.140625" style="185" bestFit="1" customWidth="1"/>
    <col min="2" max="2" width="0.140625" style="184" customWidth="1"/>
    <col min="3" max="3" width="10.140625" style="186" bestFit="1" customWidth="1"/>
    <col min="4" max="4" width="13" style="262" bestFit="1" customWidth="1"/>
    <col min="5" max="5" width="5.5703125" style="181" bestFit="1" customWidth="1"/>
    <col min="6" max="6" width="13" style="262" bestFit="1" customWidth="1"/>
    <col min="7" max="7" width="13.42578125" style="262" bestFit="1" customWidth="1"/>
    <col min="8" max="8" width="11.28515625" style="265" bestFit="1" customWidth="1"/>
    <col min="9" max="9" width="7.5703125" style="262" bestFit="1" customWidth="1"/>
    <col min="10" max="10" width="14.42578125" style="266" bestFit="1" customWidth="1"/>
    <col min="11" max="11" width="13" style="265" bestFit="1" customWidth="1"/>
    <col min="12" max="12" width="10.140625" style="51" bestFit="1" customWidth="1"/>
    <col min="13" max="13" width="12.140625" style="184" bestFit="1" customWidth="1"/>
    <col min="14" max="14" width="12" style="184" bestFit="1" customWidth="1"/>
    <col min="15" max="15" width="11.7109375" style="184" customWidth="1"/>
    <col min="16" max="16" width="20.42578125" style="221" customWidth="1"/>
    <col min="17" max="20" width="9.140625" style="184"/>
    <col min="21" max="22" width="9.140625" style="338"/>
    <col min="23" max="16384" width="9.140625" style="184"/>
  </cols>
  <sheetData>
    <row r="1" spans="1:23" s="221" customFormat="1" ht="30" customHeight="1" x14ac:dyDescent="0.25">
      <c r="A1" s="178" t="s">
        <v>0</v>
      </c>
      <c r="B1" s="70" t="s">
        <v>1</v>
      </c>
      <c r="C1" s="71" t="s">
        <v>2</v>
      </c>
      <c r="D1" s="152" t="s">
        <v>3</v>
      </c>
      <c r="E1" s="70" t="s">
        <v>4</v>
      </c>
      <c r="F1" s="152" t="s">
        <v>254</v>
      </c>
      <c r="G1" s="152" t="s">
        <v>255</v>
      </c>
      <c r="H1" s="157" t="s">
        <v>12</v>
      </c>
      <c r="I1" s="179" t="s">
        <v>13</v>
      </c>
      <c r="J1" s="167" t="s">
        <v>14</v>
      </c>
      <c r="K1" s="167" t="s">
        <v>15</v>
      </c>
      <c r="L1" s="152" t="s">
        <v>257</v>
      </c>
      <c r="M1" s="152" t="s">
        <v>258</v>
      </c>
      <c r="N1" s="172" t="s">
        <v>259</v>
      </c>
      <c r="O1" s="70" t="s">
        <v>21</v>
      </c>
      <c r="P1" s="180" t="s">
        <v>22</v>
      </c>
      <c r="S1" s="80"/>
      <c r="T1" s="80" t="s">
        <v>260</v>
      </c>
      <c r="U1" s="316" t="s">
        <v>261</v>
      </c>
      <c r="V1" s="316" t="s">
        <v>260</v>
      </c>
      <c r="W1" s="82" t="s">
        <v>261</v>
      </c>
    </row>
    <row r="2" spans="1:23" x14ac:dyDescent="0.25">
      <c r="A2" s="185" t="s">
        <v>334</v>
      </c>
      <c r="B2" s="184" t="s">
        <v>335</v>
      </c>
      <c r="C2" s="186">
        <v>44393</v>
      </c>
      <c r="D2" s="262">
        <v>7500</v>
      </c>
      <c r="E2" s="181" t="s">
        <v>32</v>
      </c>
      <c r="F2" s="262">
        <f>Table20[[#This Row],[Sale Price]]</f>
        <v>7500</v>
      </c>
      <c r="G2" s="262">
        <f t="shared" ref="G2:G8" si="0">F2</f>
        <v>7500</v>
      </c>
      <c r="H2" s="265">
        <v>48.384141</v>
      </c>
      <c r="I2" s="317">
        <f t="shared" ref="I2:I8" si="1">(J2*43560)/H2</f>
        <v>150.34926423515509</v>
      </c>
      <c r="J2" s="318">
        <v>0.16700000000000001</v>
      </c>
      <c r="K2" s="318">
        <v>0.16700000000000001</v>
      </c>
      <c r="L2" s="319">
        <f t="shared" ref="L2:L8" si="2">G2/H2</f>
        <v>155.00946890841774</v>
      </c>
      <c r="M2" s="319">
        <f t="shared" ref="M2:M8" si="3">G2/J2</f>
        <v>44910.179640718561</v>
      </c>
      <c r="N2" s="319">
        <f t="shared" ref="N2:N8" si="4">G2/J2/43560</f>
        <v>1.0309958595206281</v>
      </c>
      <c r="O2" s="181" t="s">
        <v>336</v>
      </c>
      <c r="S2" s="93">
        <v>1</v>
      </c>
      <c r="T2" s="94">
        <f t="shared" ref="T2:T9" si="5">U2/S2</f>
        <v>7000</v>
      </c>
      <c r="U2" s="320">
        <v>7000</v>
      </c>
      <c r="V2" s="321">
        <v>7000</v>
      </c>
      <c r="W2" s="97">
        <f>S2*V2</f>
        <v>7000</v>
      </c>
    </row>
    <row r="3" spans="1:23" x14ac:dyDescent="0.25">
      <c r="A3" s="185" t="s">
        <v>337</v>
      </c>
      <c r="B3" s="184" t="s">
        <v>338</v>
      </c>
      <c r="C3" s="186">
        <v>45038</v>
      </c>
      <c r="D3" s="262">
        <v>29900</v>
      </c>
      <c r="E3" s="181" t="s">
        <v>32</v>
      </c>
      <c r="F3" s="262">
        <f>Table20[[#This Row],[Sale Price]]</f>
        <v>29900</v>
      </c>
      <c r="G3" s="262">
        <f t="shared" si="0"/>
        <v>29900</v>
      </c>
      <c r="H3" s="265">
        <v>146.9</v>
      </c>
      <c r="I3" s="317">
        <f t="shared" si="1"/>
        <v>314.3199455411845</v>
      </c>
      <c r="J3" s="318">
        <v>1.06</v>
      </c>
      <c r="K3" s="318">
        <v>1.06</v>
      </c>
      <c r="L3" s="319">
        <f t="shared" si="2"/>
        <v>203.53982300884954</v>
      </c>
      <c r="M3" s="319">
        <f t="shared" si="3"/>
        <v>28207.547169811318</v>
      </c>
      <c r="N3" s="319">
        <f t="shared" si="4"/>
        <v>0.64755617928859777</v>
      </c>
      <c r="O3" s="181" t="s">
        <v>339</v>
      </c>
      <c r="S3" s="93">
        <v>1.5</v>
      </c>
      <c r="T3" s="94">
        <f t="shared" si="5"/>
        <v>5666.666666666667</v>
      </c>
      <c r="U3" s="320">
        <v>8500</v>
      </c>
      <c r="V3" s="321">
        <v>6000</v>
      </c>
      <c r="W3" s="97">
        <f t="shared" ref="W3:W17" si="6">S3*V3</f>
        <v>9000</v>
      </c>
    </row>
    <row r="4" spans="1:23" x14ac:dyDescent="0.25">
      <c r="A4" s="185" t="s">
        <v>340</v>
      </c>
      <c r="C4" s="186">
        <v>43292</v>
      </c>
      <c r="D4" s="262">
        <v>22500</v>
      </c>
      <c r="E4" s="181" t="s">
        <v>32</v>
      </c>
      <c r="F4" s="262">
        <v>22500</v>
      </c>
      <c r="G4" s="262">
        <f t="shared" si="0"/>
        <v>22500</v>
      </c>
      <c r="H4" s="265">
        <v>89.71</v>
      </c>
      <c r="I4" s="317">
        <f t="shared" si="1"/>
        <v>1019.6856537732695</v>
      </c>
      <c r="J4" s="318">
        <v>2.1</v>
      </c>
      <c r="K4" s="318">
        <v>2.1</v>
      </c>
      <c r="L4" s="319">
        <f t="shared" si="2"/>
        <v>250.80815962545984</v>
      </c>
      <c r="M4" s="319">
        <f t="shared" si="3"/>
        <v>10714.285714285714</v>
      </c>
      <c r="N4" s="319">
        <f t="shared" si="4"/>
        <v>0.24596615505706412</v>
      </c>
      <c r="O4" s="181" t="s">
        <v>341</v>
      </c>
      <c r="S4" s="93">
        <v>2</v>
      </c>
      <c r="T4" s="94">
        <f t="shared" si="5"/>
        <v>5000</v>
      </c>
      <c r="U4" s="320">
        <v>10000</v>
      </c>
      <c r="V4" s="321">
        <v>5000</v>
      </c>
      <c r="W4" s="97">
        <f t="shared" si="6"/>
        <v>10000</v>
      </c>
    </row>
    <row r="5" spans="1:23" x14ac:dyDescent="0.25">
      <c r="A5" s="185" t="s">
        <v>342</v>
      </c>
      <c r="B5" s="184" t="s">
        <v>343</v>
      </c>
      <c r="C5" s="186">
        <v>43191</v>
      </c>
      <c r="D5" s="262">
        <v>24500</v>
      </c>
      <c r="E5" s="181" t="s">
        <v>32</v>
      </c>
      <c r="F5" s="262">
        <v>24500</v>
      </c>
      <c r="G5" s="262">
        <f t="shared" si="0"/>
        <v>24500</v>
      </c>
      <c r="H5" s="265">
        <v>565.58000000000004</v>
      </c>
      <c r="I5" s="317">
        <f t="shared" si="1"/>
        <v>179.45259733371051</v>
      </c>
      <c r="J5" s="318">
        <v>2.33</v>
      </c>
      <c r="K5" s="318">
        <v>2.33</v>
      </c>
      <c r="L5" s="319">
        <f t="shared" si="2"/>
        <v>43.318363449909825</v>
      </c>
      <c r="M5" s="319">
        <f t="shared" si="3"/>
        <v>10515.021459227468</v>
      </c>
      <c r="N5" s="319">
        <f t="shared" si="4"/>
        <v>0.2413916772090787</v>
      </c>
      <c r="O5" s="181" t="s">
        <v>344</v>
      </c>
      <c r="S5" s="93">
        <v>2.5</v>
      </c>
      <c r="T5" s="94">
        <f t="shared" si="5"/>
        <v>4800</v>
      </c>
      <c r="U5" s="320">
        <v>12000</v>
      </c>
      <c r="V5" s="321">
        <v>4800</v>
      </c>
      <c r="W5" s="97">
        <f t="shared" si="6"/>
        <v>12000</v>
      </c>
    </row>
    <row r="6" spans="1:23" x14ac:dyDescent="0.25">
      <c r="A6" s="185" t="s">
        <v>345</v>
      </c>
      <c r="C6" s="186">
        <v>43486</v>
      </c>
      <c r="D6" s="262">
        <v>35000</v>
      </c>
      <c r="E6" s="181" t="s">
        <v>32</v>
      </c>
      <c r="F6" s="262">
        <f>Table20[[#This Row],[Sale Price]]</f>
        <v>35000</v>
      </c>
      <c r="G6" s="262">
        <f t="shared" si="0"/>
        <v>35000</v>
      </c>
      <c r="H6" s="265">
        <v>394.85</v>
      </c>
      <c r="I6" s="317">
        <f t="shared" si="1"/>
        <v>296.76180828162592</v>
      </c>
      <c r="J6" s="318">
        <v>2.69</v>
      </c>
      <c r="K6" s="318">
        <v>2.69</v>
      </c>
      <c r="L6" s="319">
        <f t="shared" si="2"/>
        <v>88.641256173230332</v>
      </c>
      <c r="M6" s="319">
        <f t="shared" si="3"/>
        <v>13011.152416356877</v>
      </c>
      <c r="N6" s="319">
        <f t="shared" si="4"/>
        <v>0.29869495905318821</v>
      </c>
      <c r="O6" s="181" t="s">
        <v>346</v>
      </c>
      <c r="S6" s="93">
        <v>3</v>
      </c>
      <c r="T6" s="94">
        <f t="shared" si="5"/>
        <v>4333.333333333333</v>
      </c>
      <c r="U6" s="320">
        <v>13000</v>
      </c>
      <c r="V6" s="321">
        <v>4500</v>
      </c>
      <c r="W6" s="97">
        <f t="shared" si="6"/>
        <v>13500</v>
      </c>
    </row>
    <row r="7" spans="1:23" x14ac:dyDescent="0.25">
      <c r="A7" s="185" t="s">
        <v>347</v>
      </c>
      <c r="C7" s="186">
        <v>44092</v>
      </c>
      <c r="D7" s="262">
        <v>63500</v>
      </c>
      <c r="E7" s="181" t="s">
        <v>32</v>
      </c>
      <c r="F7" s="262">
        <v>63500</v>
      </c>
      <c r="G7" s="262">
        <f t="shared" si="0"/>
        <v>63500</v>
      </c>
      <c r="H7" s="265">
        <v>738</v>
      </c>
      <c r="I7" s="317">
        <f t="shared" si="1"/>
        <v>336.20292682926828</v>
      </c>
      <c r="J7" s="318">
        <v>5.6959999999999997</v>
      </c>
      <c r="K7" s="318">
        <v>5.6959999999999997</v>
      </c>
      <c r="L7" s="319">
        <f t="shared" si="2"/>
        <v>86.043360433604335</v>
      </c>
      <c r="M7" s="319">
        <f t="shared" si="3"/>
        <v>11148.174157303371</v>
      </c>
      <c r="N7" s="319">
        <f t="shared" si="4"/>
        <v>0.2559268631153207</v>
      </c>
      <c r="O7" s="181" t="s">
        <v>348</v>
      </c>
      <c r="S7" s="93">
        <v>4</v>
      </c>
      <c r="T7" s="94">
        <f t="shared" si="5"/>
        <v>3875</v>
      </c>
      <c r="U7" s="320">
        <v>15500</v>
      </c>
      <c r="V7" s="321">
        <v>3875</v>
      </c>
      <c r="W7" s="97">
        <f t="shared" si="6"/>
        <v>15500</v>
      </c>
    </row>
    <row r="8" spans="1:23" x14ac:dyDescent="0.25">
      <c r="A8" s="185" t="s">
        <v>349</v>
      </c>
      <c r="C8" s="186">
        <v>44236</v>
      </c>
      <c r="D8" s="262">
        <v>60000</v>
      </c>
      <c r="E8" s="181" t="s">
        <v>32</v>
      </c>
      <c r="F8" s="262">
        <f>Table20[[#This Row],[Sale Price]]</f>
        <v>60000</v>
      </c>
      <c r="G8" s="262">
        <f t="shared" si="0"/>
        <v>60000</v>
      </c>
      <c r="H8" s="265">
        <v>711.27</v>
      </c>
      <c r="I8" s="317">
        <f t="shared" si="1"/>
        <v>1015.4017461723396</v>
      </c>
      <c r="J8" s="318">
        <v>16.579999999999998</v>
      </c>
      <c r="K8" s="318">
        <v>16.579999999999998</v>
      </c>
      <c r="L8" s="319">
        <f t="shared" si="2"/>
        <v>84.35615167236071</v>
      </c>
      <c r="M8" s="319">
        <f t="shared" si="3"/>
        <v>3618.8178528347412</v>
      </c>
      <c r="N8" s="319">
        <f t="shared" si="4"/>
        <v>8.3076626557271382E-2</v>
      </c>
      <c r="O8" s="181" t="s">
        <v>350</v>
      </c>
      <c r="S8" s="93">
        <v>5</v>
      </c>
      <c r="T8" s="94">
        <f t="shared" si="5"/>
        <v>3500</v>
      </c>
      <c r="U8" s="320">
        <v>17500</v>
      </c>
      <c r="V8" s="321">
        <v>3500</v>
      </c>
      <c r="W8" s="97">
        <f t="shared" si="6"/>
        <v>17500</v>
      </c>
    </row>
    <row r="9" spans="1:23" x14ac:dyDescent="0.25">
      <c r="C9" s="186" t="s">
        <v>229</v>
      </c>
      <c r="D9" s="262">
        <f>+SUM(D2:D8)</f>
        <v>242900</v>
      </c>
      <c r="F9" s="262">
        <f>+SUM(F2:F8)</f>
        <v>242900</v>
      </c>
      <c r="G9" s="262">
        <f>+SUM(G2:G8)</f>
        <v>242900</v>
      </c>
      <c r="H9" s="265">
        <f>+SUM(H2:H8)</f>
        <v>2694.6941409999999</v>
      </c>
      <c r="I9" s="51"/>
      <c r="J9" s="184">
        <f>+SUM(J2:J8)</f>
        <v>30.622999999999998</v>
      </c>
      <c r="K9" s="184">
        <f>+SUM(K2:K8)</f>
        <v>30.622999999999998</v>
      </c>
      <c r="L9" s="184"/>
      <c r="N9" s="319"/>
      <c r="S9" s="93">
        <v>7</v>
      </c>
      <c r="T9" s="94">
        <f t="shared" si="5"/>
        <v>3000</v>
      </c>
      <c r="U9" s="322">
        <v>21000</v>
      </c>
      <c r="V9" s="321">
        <v>3000</v>
      </c>
      <c r="W9" s="97">
        <f t="shared" si="6"/>
        <v>21000</v>
      </c>
    </row>
    <row r="10" spans="1:23" x14ac:dyDescent="0.25">
      <c r="I10" s="51"/>
      <c r="J10" s="184" t="s">
        <v>231</v>
      </c>
      <c r="K10" s="184"/>
      <c r="L10" s="184"/>
      <c r="M10" s="184" t="s">
        <v>231</v>
      </c>
      <c r="N10" s="319"/>
      <c r="S10" s="93">
        <v>10</v>
      </c>
      <c r="T10" s="94">
        <f>U10/S10</f>
        <v>3000</v>
      </c>
      <c r="U10" s="320">
        <v>30000</v>
      </c>
      <c r="V10" s="321">
        <v>3000</v>
      </c>
      <c r="W10" s="97">
        <f t="shared" si="6"/>
        <v>30000</v>
      </c>
    </row>
    <row r="11" spans="1:23" x14ac:dyDescent="0.25">
      <c r="A11" s="323"/>
      <c r="B11" s="324"/>
      <c r="C11" s="325"/>
      <c r="D11" s="326"/>
      <c r="E11" s="327"/>
      <c r="F11" s="326"/>
      <c r="G11" s="326"/>
      <c r="H11" s="326"/>
      <c r="I11" s="328"/>
      <c r="J11" s="324" t="s">
        <v>234</v>
      </c>
      <c r="K11" s="329">
        <f>G9/J9</f>
        <v>7931.9465761029296</v>
      </c>
      <c r="L11" s="324"/>
      <c r="M11" s="324" t="s">
        <v>235</v>
      </c>
      <c r="N11" s="330">
        <f>G9/J9/43560</f>
        <v>0.18209243746792766</v>
      </c>
      <c r="O11" s="324"/>
      <c r="P11" s="331"/>
      <c r="R11" s="221"/>
      <c r="S11" s="93">
        <v>15</v>
      </c>
      <c r="T11" s="94">
        <f t="shared" ref="T11:T17" si="7">U11/S11</f>
        <v>2800</v>
      </c>
      <c r="U11" s="322">
        <v>42000</v>
      </c>
      <c r="V11" s="321">
        <v>2800</v>
      </c>
      <c r="W11" s="97">
        <f t="shared" si="6"/>
        <v>42000</v>
      </c>
    </row>
    <row r="12" spans="1:23" x14ac:dyDescent="0.25">
      <c r="R12" s="221"/>
      <c r="S12" s="93">
        <v>20</v>
      </c>
      <c r="T12" s="94">
        <f t="shared" si="7"/>
        <v>2800</v>
      </c>
      <c r="U12" s="320">
        <v>56000</v>
      </c>
      <c r="V12" s="321">
        <v>2800</v>
      </c>
      <c r="W12" s="97">
        <f t="shared" si="6"/>
        <v>56000</v>
      </c>
    </row>
    <row r="13" spans="1:23" x14ac:dyDescent="0.25">
      <c r="R13" s="221"/>
      <c r="S13" s="93">
        <v>25</v>
      </c>
      <c r="T13" s="94">
        <f t="shared" si="7"/>
        <v>2800</v>
      </c>
      <c r="U13" s="320">
        <v>70000</v>
      </c>
      <c r="V13" s="321">
        <v>2800</v>
      </c>
      <c r="W13" s="97">
        <f t="shared" si="6"/>
        <v>70000</v>
      </c>
    </row>
    <row r="14" spans="1:23" x14ac:dyDescent="0.25">
      <c r="A14" s="398" t="s">
        <v>303</v>
      </c>
      <c r="B14" s="398"/>
      <c r="C14" s="398"/>
      <c r="D14" s="398"/>
      <c r="E14" s="398"/>
      <c r="F14" s="398"/>
      <c r="G14" s="398"/>
      <c r="H14" s="398"/>
      <c r="I14" s="276">
        <v>1</v>
      </c>
      <c r="J14" s="277">
        <f>W2</f>
        <v>7000</v>
      </c>
      <c r="K14" s="276">
        <v>3</v>
      </c>
      <c r="L14" s="277">
        <f>W6</f>
        <v>13500</v>
      </c>
      <c r="M14" s="276">
        <v>10</v>
      </c>
      <c r="N14" s="277">
        <f>W10</f>
        <v>30000</v>
      </c>
      <c r="O14" s="276">
        <v>30</v>
      </c>
      <c r="P14" s="277">
        <f>W14</f>
        <v>75000</v>
      </c>
      <c r="R14" s="221"/>
      <c r="S14" s="93">
        <v>30</v>
      </c>
      <c r="T14" s="94">
        <f t="shared" si="7"/>
        <v>2500</v>
      </c>
      <c r="U14" s="320">
        <v>75000</v>
      </c>
      <c r="V14" s="321">
        <v>2500</v>
      </c>
      <c r="W14" s="97">
        <f t="shared" si="6"/>
        <v>75000</v>
      </c>
    </row>
    <row r="15" spans="1:23" x14ac:dyDescent="0.25">
      <c r="A15" s="332" t="s">
        <v>351</v>
      </c>
      <c r="B15" s="51"/>
      <c r="C15" s="181"/>
      <c r="D15" s="314"/>
      <c r="E15" s="186"/>
      <c r="F15" s="51"/>
      <c r="G15" s="333"/>
      <c r="H15" s="271"/>
      <c r="I15" s="54">
        <v>1.5</v>
      </c>
      <c r="J15" s="55">
        <f>W3</f>
        <v>9000</v>
      </c>
      <c r="K15" s="54">
        <v>4</v>
      </c>
      <c r="L15" s="55">
        <f t="shared" ref="L15:L17" si="8">W7</f>
        <v>15500</v>
      </c>
      <c r="M15" s="54">
        <v>15</v>
      </c>
      <c r="N15" s="55">
        <f t="shared" ref="N15:N17" si="9">W11</f>
        <v>42000</v>
      </c>
      <c r="O15" s="54">
        <v>40</v>
      </c>
      <c r="P15" s="55">
        <f t="shared" ref="P15:P17" si="10">W15</f>
        <v>100000</v>
      </c>
      <c r="S15" s="93">
        <v>40</v>
      </c>
      <c r="T15" s="94">
        <f t="shared" si="7"/>
        <v>2500</v>
      </c>
      <c r="U15" s="320">
        <v>100000</v>
      </c>
      <c r="V15" s="321">
        <v>2500</v>
      </c>
      <c r="W15" s="97">
        <f t="shared" si="6"/>
        <v>100000</v>
      </c>
    </row>
    <row r="16" spans="1:23" x14ac:dyDescent="0.25">
      <c r="B16" s="51"/>
      <c r="C16" s="181"/>
      <c r="D16" s="314"/>
      <c r="E16" s="186"/>
      <c r="G16" s="334"/>
      <c r="H16" s="271"/>
      <c r="I16" s="276">
        <v>2</v>
      </c>
      <c r="J16" s="277">
        <f>W4</f>
        <v>10000</v>
      </c>
      <c r="K16" s="276">
        <v>5</v>
      </c>
      <c r="L16" s="277">
        <f t="shared" si="8"/>
        <v>17500</v>
      </c>
      <c r="M16" s="276">
        <v>20</v>
      </c>
      <c r="N16" s="277">
        <f t="shared" si="9"/>
        <v>56000</v>
      </c>
      <c r="O16" s="276">
        <v>50</v>
      </c>
      <c r="P16" s="277">
        <f t="shared" si="10"/>
        <v>125000</v>
      </c>
      <c r="S16" s="93">
        <v>50</v>
      </c>
      <c r="T16" s="94">
        <f t="shared" si="7"/>
        <v>2500</v>
      </c>
      <c r="U16" s="320">
        <v>125000</v>
      </c>
      <c r="V16" s="321">
        <v>2500</v>
      </c>
      <c r="W16" s="97">
        <f t="shared" si="6"/>
        <v>125000</v>
      </c>
    </row>
    <row r="17" spans="1:23" ht="15.75" thickBot="1" x14ac:dyDescent="0.3">
      <c r="B17" s="51"/>
      <c r="C17" s="181"/>
      <c r="D17" s="314"/>
      <c r="E17" s="186"/>
      <c r="G17" s="334"/>
      <c r="H17" s="272"/>
      <c r="I17" s="54">
        <v>2.5</v>
      </c>
      <c r="J17" s="55">
        <f>W5</f>
        <v>12000</v>
      </c>
      <c r="K17" s="54">
        <v>7</v>
      </c>
      <c r="L17" s="55">
        <f t="shared" si="8"/>
        <v>21000</v>
      </c>
      <c r="M17" s="54">
        <v>25</v>
      </c>
      <c r="N17" s="55">
        <f t="shared" si="9"/>
        <v>70000</v>
      </c>
      <c r="O17" s="54">
        <v>100</v>
      </c>
      <c r="P17" s="55">
        <f t="shared" si="10"/>
        <v>250000</v>
      </c>
      <c r="S17" s="93">
        <v>100</v>
      </c>
      <c r="T17" s="94">
        <f t="shared" si="7"/>
        <v>2500</v>
      </c>
      <c r="U17" s="322">
        <v>250000</v>
      </c>
      <c r="V17" s="335">
        <v>2500</v>
      </c>
      <c r="W17" s="116">
        <f t="shared" si="6"/>
        <v>250000</v>
      </c>
    </row>
    <row r="18" spans="1:23" x14ac:dyDescent="0.25">
      <c r="B18" s="314"/>
      <c r="H18" s="263"/>
      <c r="I18" s="264"/>
      <c r="J18" s="265"/>
      <c r="L18" s="262"/>
      <c r="M18" s="262"/>
      <c r="N18" s="266"/>
      <c r="O18" s="265"/>
      <c r="P18" s="336"/>
      <c r="Q18" s="337"/>
      <c r="R18" s="337"/>
      <c r="S18" s="337"/>
      <c r="T18" s="337"/>
    </row>
    <row r="19" spans="1:23" x14ac:dyDescent="0.25">
      <c r="B19" s="314"/>
      <c r="H19" s="263"/>
      <c r="I19" s="264"/>
      <c r="J19" s="265"/>
      <c r="L19" s="262"/>
      <c r="M19" s="262"/>
      <c r="N19" s="266"/>
      <c r="O19" s="265"/>
      <c r="P19" s="336"/>
    </row>
    <row r="20" spans="1:23" x14ac:dyDescent="0.25">
      <c r="B20" s="314"/>
      <c r="H20" s="263"/>
      <c r="I20" s="264"/>
      <c r="J20" s="265"/>
      <c r="L20" s="262"/>
      <c r="M20" s="262"/>
      <c r="N20" s="266"/>
      <c r="O20" s="265"/>
      <c r="P20" s="336"/>
    </row>
    <row r="21" spans="1:23" x14ac:dyDescent="0.25">
      <c r="A21" s="339"/>
      <c r="B21" s="339"/>
      <c r="C21" s="339"/>
      <c r="D21" s="339"/>
      <c r="E21" s="339"/>
      <c r="F21" s="339"/>
      <c r="G21" s="339"/>
      <c r="H21" s="339"/>
      <c r="I21" s="339"/>
      <c r="J21" s="339"/>
      <c r="K21" s="339"/>
      <c r="L21" s="339"/>
      <c r="M21" s="339"/>
      <c r="N21" s="339"/>
      <c r="O21" s="339"/>
      <c r="P21" s="339"/>
    </row>
    <row r="22" spans="1:23" x14ac:dyDescent="0.25">
      <c r="B22" s="314"/>
      <c r="H22" s="263"/>
      <c r="I22" s="264"/>
      <c r="J22" s="265"/>
      <c r="L22" s="262"/>
      <c r="M22" s="262"/>
      <c r="N22" s="266"/>
      <c r="O22" s="265"/>
      <c r="P22" s="336"/>
    </row>
  </sheetData>
  <mergeCells count="1">
    <mergeCell ref="A14:H14"/>
  </mergeCells>
  <pageMargins left="0.25" right="0.25" top="0.75" bottom="0.75" header="0.3" footer="0.3"/>
  <pageSetup scale="53" orientation="landscape" r:id="rId1"/>
  <headerFooter>
    <oddHeader xml:space="preserve">&amp;L&amp;"Baskerville Old Face,Bold"&amp;20Dayton Township Commercial &amp;C&amp;"Baskerville Old Face,Bold"&amp;20 2025 Land Value Analysis and Determination&amp;R&amp;"Baskerville Old Face,Regular"&amp;16 </oddHeader>
    <oddFooter>&amp;L&amp;"Baskerville Old Face,Regular"&amp;16&amp;A&amp;C&amp;"Baguet Script,Bold"&amp;20Mid-Michigan Assessing Services, LLC</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56E1-B1BA-4F7F-8A65-E423C83C4BFD}">
  <sheetPr>
    <pageSetUpPr fitToPage="1"/>
  </sheetPr>
  <dimension ref="A1:AT37"/>
  <sheetViews>
    <sheetView view="pageLayout" zoomScaleNormal="100" zoomScaleSheetLayoutView="100" workbookViewId="0">
      <selection activeCell="D22" sqref="D22"/>
    </sheetView>
  </sheetViews>
  <sheetFormatPr defaultRowHeight="15" x14ac:dyDescent="0.25"/>
  <cols>
    <col min="1" max="1" width="19.140625" style="184" bestFit="1" customWidth="1"/>
    <col min="2" max="2" width="17.42578125" style="184" hidden="1" customWidth="1"/>
    <col min="3" max="3" width="11.42578125" style="261" customWidth="1"/>
    <col min="4" max="4" width="11.85546875" style="262" bestFit="1" customWidth="1"/>
    <col min="5" max="5" width="7.7109375" style="184" customWidth="1"/>
    <col min="6" max="6" width="12.5703125" style="184" bestFit="1" customWidth="1"/>
    <col min="7" max="7" width="13.28515625" style="262" bestFit="1" customWidth="1"/>
    <col min="8" max="8" width="14.42578125" style="262" bestFit="1" customWidth="1"/>
    <col min="9" max="9" width="13.28515625" style="315" customWidth="1"/>
    <col min="10" max="10" width="8.5703125" style="262" customWidth="1"/>
    <col min="11" max="11" width="14.28515625" style="262" bestFit="1" customWidth="1"/>
    <col min="12" max="12" width="12.85546875" style="262" customWidth="1"/>
    <col min="13" max="13" width="10" style="263" bestFit="1" customWidth="1"/>
    <col min="14" max="14" width="12" style="264" bestFit="1" customWidth="1"/>
    <col min="15" max="15" width="11.85546875" style="265" bestFit="1" customWidth="1"/>
    <col min="16" max="16" width="10.85546875" style="265" customWidth="1"/>
    <col min="17" max="17" width="21.28515625" style="184" customWidth="1"/>
    <col min="18" max="16384" width="9.140625" style="184"/>
  </cols>
  <sheetData>
    <row r="1" spans="1:46" s="291" customFormat="1" ht="30" x14ac:dyDescent="0.25">
      <c r="A1" s="278" t="s">
        <v>0</v>
      </c>
      <c r="B1" s="279" t="s">
        <v>1</v>
      </c>
      <c r="C1" s="280" t="s">
        <v>2</v>
      </c>
      <c r="D1" s="281" t="s">
        <v>3</v>
      </c>
      <c r="E1" s="282" t="s">
        <v>4</v>
      </c>
      <c r="F1" s="281" t="s">
        <v>254</v>
      </c>
      <c r="G1" s="281" t="s">
        <v>255</v>
      </c>
      <c r="H1" s="283" t="s">
        <v>256</v>
      </c>
      <c r="I1" s="284" t="s">
        <v>12</v>
      </c>
      <c r="J1" s="285" t="s">
        <v>13</v>
      </c>
      <c r="K1" s="286" t="s">
        <v>14</v>
      </c>
      <c r="L1" s="286" t="s">
        <v>15</v>
      </c>
      <c r="M1" s="281" t="s">
        <v>257</v>
      </c>
      <c r="N1" s="281" t="s">
        <v>258</v>
      </c>
      <c r="O1" s="287" t="s">
        <v>259</v>
      </c>
      <c r="P1" s="288" t="s">
        <v>20</v>
      </c>
      <c r="Q1" s="289" t="s">
        <v>22</v>
      </c>
      <c r="R1" s="290"/>
      <c r="S1" s="67"/>
      <c r="T1" s="67" t="s">
        <v>260</v>
      </c>
      <c r="U1" s="182" t="s">
        <v>261</v>
      </c>
      <c r="V1" s="182" t="s">
        <v>260</v>
      </c>
      <c r="W1" s="183" t="s">
        <v>261</v>
      </c>
      <c r="X1" s="290"/>
      <c r="Y1" s="290"/>
      <c r="Z1" s="290"/>
      <c r="AA1" s="290"/>
      <c r="AB1" s="290"/>
      <c r="AC1" s="290"/>
      <c r="AD1" s="290"/>
      <c r="AE1" s="290"/>
      <c r="AF1" s="290"/>
      <c r="AG1" s="290"/>
      <c r="AH1" s="290"/>
      <c r="AI1" s="290"/>
      <c r="AJ1" s="290"/>
      <c r="AK1" s="290"/>
      <c r="AL1" s="290"/>
      <c r="AM1" s="290"/>
      <c r="AN1" s="290"/>
      <c r="AO1" s="290"/>
      <c r="AP1" s="290"/>
      <c r="AQ1" s="290"/>
      <c r="AR1" s="290"/>
      <c r="AS1" s="290"/>
      <c r="AT1" s="290"/>
    </row>
    <row r="2" spans="1:46" x14ac:dyDescent="0.25">
      <c r="A2" s="184" t="s">
        <v>320</v>
      </c>
      <c r="B2" s="184" t="s">
        <v>321</v>
      </c>
      <c r="C2" s="261">
        <v>42489</v>
      </c>
      <c r="D2" s="262">
        <v>220000</v>
      </c>
      <c r="E2" s="184" t="s">
        <v>32</v>
      </c>
      <c r="F2" s="262">
        <v>220000</v>
      </c>
      <c r="G2" s="262">
        <v>28037</v>
      </c>
      <c r="H2" s="292">
        <v>30600</v>
      </c>
      <c r="I2" s="263">
        <v>0</v>
      </c>
      <c r="J2" s="264">
        <v>0</v>
      </c>
      <c r="K2" s="265">
        <v>1.08</v>
      </c>
      <c r="L2" s="265">
        <v>1.08</v>
      </c>
      <c r="M2" s="266"/>
      <c r="N2" s="262">
        <f t="shared" ref="N2:N9" si="0">G2/K2</f>
        <v>25960.185185185182</v>
      </c>
      <c r="O2" s="266">
        <f t="shared" ref="O2:O9" si="1">G2/K2/43560</f>
        <v>0.59596384722647344</v>
      </c>
      <c r="P2" s="192" t="s">
        <v>322</v>
      </c>
      <c r="S2" s="93">
        <v>1</v>
      </c>
      <c r="T2" s="193">
        <f t="shared" ref="T2:T9" si="2">U2/S2</f>
        <v>50000</v>
      </c>
      <c r="U2" s="194">
        <v>50000</v>
      </c>
      <c r="V2" s="195">
        <v>50000</v>
      </c>
      <c r="W2" s="196">
        <f>S2*V2</f>
        <v>50000</v>
      </c>
    </row>
    <row r="3" spans="1:46" x14ac:dyDescent="0.25">
      <c r="A3" s="184" t="s">
        <v>323</v>
      </c>
      <c r="B3" s="184" t="s">
        <v>324</v>
      </c>
      <c r="C3" s="261">
        <v>42551</v>
      </c>
      <c r="D3" s="262">
        <v>195000</v>
      </c>
      <c r="E3" s="184" t="s">
        <v>32</v>
      </c>
      <c r="F3" s="262">
        <v>195000</v>
      </c>
      <c r="G3" s="262">
        <v>184496</v>
      </c>
      <c r="H3" s="262">
        <v>115313</v>
      </c>
      <c r="I3" s="263">
        <v>0</v>
      </c>
      <c r="J3" s="264">
        <v>0</v>
      </c>
      <c r="K3" s="265">
        <v>41</v>
      </c>
      <c r="L3" s="265">
        <v>41</v>
      </c>
      <c r="M3" s="266"/>
      <c r="N3" s="262">
        <f t="shared" si="0"/>
        <v>4499.9024390243903</v>
      </c>
      <c r="O3" s="266">
        <f t="shared" si="1"/>
        <v>0.10330354543214854</v>
      </c>
      <c r="P3" s="192" t="s">
        <v>322</v>
      </c>
      <c r="S3" s="93">
        <v>1.5</v>
      </c>
      <c r="T3" s="193">
        <f t="shared" si="2"/>
        <v>40000</v>
      </c>
      <c r="U3" s="194">
        <v>60000</v>
      </c>
      <c r="V3" s="195">
        <v>40000</v>
      </c>
      <c r="W3" s="196">
        <f t="shared" ref="W3:W17" si="3">S3*V3</f>
        <v>60000</v>
      </c>
    </row>
    <row r="4" spans="1:46" x14ac:dyDescent="0.25">
      <c r="A4" s="184" t="s">
        <v>325</v>
      </c>
      <c r="B4" s="184" t="s">
        <v>49</v>
      </c>
      <c r="C4" s="261">
        <v>42731</v>
      </c>
      <c r="D4" s="262">
        <v>12000</v>
      </c>
      <c r="E4" s="184" t="s">
        <v>32</v>
      </c>
      <c r="F4" s="262">
        <v>12000</v>
      </c>
      <c r="G4" s="262">
        <v>12000</v>
      </c>
      <c r="H4" s="262">
        <v>20475</v>
      </c>
      <c r="I4" s="263">
        <v>0</v>
      </c>
      <c r="J4" s="264">
        <v>0</v>
      </c>
      <c r="K4" s="265">
        <v>0.39</v>
      </c>
      <c r="L4" s="265">
        <v>0.39</v>
      </c>
      <c r="M4" s="266"/>
      <c r="N4" s="262">
        <f t="shared" si="0"/>
        <v>30769.23076923077</v>
      </c>
      <c r="O4" s="266">
        <f t="shared" si="1"/>
        <v>0.7063643427279791</v>
      </c>
      <c r="P4" s="192" t="s">
        <v>322</v>
      </c>
      <c r="S4" s="93">
        <v>2</v>
      </c>
      <c r="T4" s="193">
        <f t="shared" si="2"/>
        <v>35000</v>
      </c>
      <c r="U4" s="194">
        <v>70000</v>
      </c>
      <c r="V4" s="195">
        <v>35000</v>
      </c>
      <c r="W4" s="196">
        <f t="shared" si="3"/>
        <v>70000</v>
      </c>
    </row>
    <row r="5" spans="1:46" x14ac:dyDescent="0.25">
      <c r="A5" s="184" t="s">
        <v>326</v>
      </c>
      <c r="B5" s="184" t="s">
        <v>49</v>
      </c>
      <c r="C5" s="261">
        <v>42773</v>
      </c>
      <c r="D5" s="262">
        <v>14500</v>
      </c>
      <c r="E5" s="184" t="s">
        <v>114</v>
      </c>
      <c r="F5" s="262">
        <v>14500</v>
      </c>
      <c r="G5" s="262">
        <v>14500</v>
      </c>
      <c r="H5" s="262">
        <v>13662</v>
      </c>
      <c r="I5" s="263">
        <v>0</v>
      </c>
      <c r="J5" s="264">
        <v>0</v>
      </c>
      <c r="K5" s="265">
        <v>1.1399999999999999</v>
      </c>
      <c r="L5" s="265">
        <v>1.1399999999999999</v>
      </c>
      <c r="M5" s="266"/>
      <c r="N5" s="262">
        <f t="shared" si="0"/>
        <v>12719.298245614036</v>
      </c>
      <c r="O5" s="266">
        <f t="shared" si="1"/>
        <v>0.29199490921978966</v>
      </c>
      <c r="P5" s="192" t="s">
        <v>322</v>
      </c>
      <c r="S5" s="93">
        <v>2.5</v>
      </c>
      <c r="T5" s="193">
        <f t="shared" si="2"/>
        <v>30000</v>
      </c>
      <c r="U5" s="194">
        <v>75000</v>
      </c>
      <c r="V5" s="195">
        <v>30000</v>
      </c>
      <c r="W5" s="196">
        <f t="shared" si="3"/>
        <v>75000</v>
      </c>
    </row>
    <row r="6" spans="1:46" x14ac:dyDescent="0.25">
      <c r="A6" s="184" t="s">
        <v>327</v>
      </c>
      <c r="B6" s="184" t="s">
        <v>49</v>
      </c>
      <c r="C6" s="261">
        <v>43283</v>
      </c>
      <c r="D6" s="262">
        <v>6000</v>
      </c>
      <c r="E6" s="184" t="s">
        <v>32</v>
      </c>
      <c r="F6" s="262">
        <v>6000</v>
      </c>
      <c r="G6" s="262">
        <v>6000</v>
      </c>
      <c r="H6" s="262">
        <v>24203</v>
      </c>
      <c r="I6" s="263">
        <v>0</v>
      </c>
      <c r="J6" s="264">
        <v>0</v>
      </c>
      <c r="K6" s="265">
        <v>1.61</v>
      </c>
      <c r="L6" s="265">
        <v>1.61</v>
      </c>
      <c r="M6" s="266"/>
      <c r="N6" s="262">
        <f t="shared" si="0"/>
        <v>3726.7080745341614</v>
      </c>
      <c r="O6" s="266">
        <f t="shared" si="1"/>
        <v>8.5553445237239706E-2</v>
      </c>
      <c r="P6" s="192" t="s">
        <v>322</v>
      </c>
      <c r="S6" s="93">
        <v>3</v>
      </c>
      <c r="T6" s="193">
        <f t="shared" si="2"/>
        <v>25500</v>
      </c>
      <c r="U6" s="194">
        <v>76500</v>
      </c>
      <c r="V6" s="195">
        <v>25500</v>
      </c>
      <c r="W6" s="196">
        <f t="shared" si="3"/>
        <v>76500</v>
      </c>
    </row>
    <row r="7" spans="1:46" x14ac:dyDescent="0.25">
      <c r="A7" s="184" t="s">
        <v>328</v>
      </c>
      <c r="B7" s="184" t="s">
        <v>329</v>
      </c>
      <c r="C7" s="261">
        <v>43969</v>
      </c>
      <c r="D7" s="262">
        <v>268000</v>
      </c>
      <c r="E7" s="184" t="s">
        <v>32</v>
      </c>
      <c r="F7" s="262">
        <v>268000</v>
      </c>
      <c r="G7" s="262">
        <v>63271</v>
      </c>
      <c r="H7" s="262">
        <v>60047</v>
      </c>
      <c r="I7" s="263">
        <v>0</v>
      </c>
      <c r="J7" s="264">
        <v>0</v>
      </c>
      <c r="K7" s="265">
        <v>21.35</v>
      </c>
      <c r="L7" s="265">
        <v>21.35</v>
      </c>
      <c r="M7" s="266"/>
      <c r="N7" s="262">
        <f t="shared" si="0"/>
        <v>2963.5128805620607</v>
      </c>
      <c r="O7" s="266">
        <f t="shared" si="1"/>
        <v>6.8032894411433897E-2</v>
      </c>
      <c r="P7" s="192" t="s">
        <v>322</v>
      </c>
      <c r="S7" s="93">
        <v>4</v>
      </c>
      <c r="T7" s="193">
        <f t="shared" si="2"/>
        <v>20000</v>
      </c>
      <c r="U7" s="194">
        <v>80000</v>
      </c>
      <c r="V7" s="195">
        <v>20000</v>
      </c>
      <c r="W7" s="196">
        <f t="shared" si="3"/>
        <v>80000</v>
      </c>
    </row>
    <row r="8" spans="1:46" x14ac:dyDescent="0.25">
      <c r="A8" s="184" t="s">
        <v>330</v>
      </c>
      <c r="B8" s="184" t="s">
        <v>49</v>
      </c>
      <c r="C8" s="261">
        <v>43969</v>
      </c>
      <c r="D8" s="262">
        <v>268000</v>
      </c>
      <c r="E8" s="184" t="s">
        <v>32</v>
      </c>
      <c r="F8" s="262">
        <v>268000</v>
      </c>
      <c r="G8" s="262">
        <v>57766</v>
      </c>
      <c r="H8" s="262">
        <v>93235</v>
      </c>
      <c r="I8" s="263">
        <v>0</v>
      </c>
      <c r="J8" s="264">
        <v>0</v>
      </c>
      <c r="K8" s="265">
        <v>25.15</v>
      </c>
      <c r="L8" s="265">
        <v>3.8</v>
      </c>
      <c r="M8" s="266"/>
      <c r="N8" s="262">
        <f t="shared" si="0"/>
        <v>2296.8588469184892</v>
      </c>
      <c r="O8" s="266">
        <f t="shared" si="1"/>
        <v>5.2728623666631981E-2</v>
      </c>
      <c r="P8" s="192" t="s">
        <v>322</v>
      </c>
      <c r="Q8" s="184" t="s">
        <v>328</v>
      </c>
      <c r="S8" s="93">
        <v>5</v>
      </c>
      <c r="T8" s="193">
        <f t="shared" si="2"/>
        <v>17000</v>
      </c>
      <c r="U8" s="194">
        <v>85000</v>
      </c>
      <c r="V8" s="195">
        <v>17000</v>
      </c>
      <c r="W8" s="196">
        <f t="shared" si="3"/>
        <v>85000</v>
      </c>
    </row>
    <row r="9" spans="1:46" x14ac:dyDescent="0.25">
      <c r="A9" s="184" t="s">
        <v>331</v>
      </c>
      <c r="B9" s="184" t="s">
        <v>332</v>
      </c>
      <c r="C9" s="261">
        <v>44071</v>
      </c>
      <c r="D9" s="262">
        <v>105000</v>
      </c>
      <c r="E9" s="184" t="s">
        <v>32</v>
      </c>
      <c r="F9" s="262">
        <v>105000</v>
      </c>
      <c r="G9" s="262">
        <v>1161</v>
      </c>
      <c r="H9" s="262">
        <v>17325</v>
      </c>
      <c r="I9" s="263">
        <v>0</v>
      </c>
      <c r="J9" s="264">
        <v>0</v>
      </c>
      <c r="K9" s="265">
        <v>0.33</v>
      </c>
      <c r="L9" s="265">
        <v>0.33</v>
      </c>
      <c r="M9" s="266"/>
      <c r="N9" s="262">
        <f t="shared" si="0"/>
        <v>3518.181818181818</v>
      </c>
      <c r="O9" s="266">
        <f t="shared" si="1"/>
        <v>8.0766341096919603E-2</v>
      </c>
      <c r="P9" s="192" t="s">
        <v>322</v>
      </c>
      <c r="S9" s="93">
        <v>7</v>
      </c>
      <c r="T9" s="193">
        <f t="shared" si="2"/>
        <v>12500</v>
      </c>
      <c r="U9" s="213">
        <v>87500</v>
      </c>
      <c r="V9" s="195">
        <v>12500</v>
      </c>
      <c r="W9" s="196">
        <f t="shared" si="3"/>
        <v>87500</v>
      </c>
    </row>
    <row r="10" spans="1:46" x14ac:dyDescent="0.25">
      <c r="A10" s="245"/>
      <c r="B10" s="245"/>
      <c r="C10" s="293" t="s">
        <v>229</v>
      </c>
      <c r="D10" s="247">
        <f>+SUM(D2:D9)</f>
        <v>1088500</v>
      </c>
      <c r="E10" s="245"/>
      <c r="F10" s="247">
        <f>+SUM(F2:F9)</f>
        <v>1088500</v>
      </c>
      <c r="G10" s="247">
        <f>+SUM(G2:G9)</f>
        <v>367231</v>
      </c>
      <c r="H10" s="247">
        <f>+SUM(H2:H9)</f>
        <v>374860</v>
      </c>
      <c r="I10" s="248">
        <f>+SUM(I2:I9)</f>
        <v>0</v>
      </c>
      <c r="J10" s="249"/>
      <c r="K10" s="250">
        <f>+SUM(K2:K9)</f>
        <v>92.05</v>
      </c>
      <c r="L10" s="250">
        <f>+SUM(L2:L9)</f>
        <v>70.699999999999989</v>
      </c>
      <c r="M10" s="247"/>
      <c r="N10" s="247"/>
      <c r="O10" s="251"/>
      <c r="P10" s="250"/>
      <c r="Q10" s="77"/>
      <c r="S10" s="93">
        <v>10</v>
      </c>
      <c r="T10" s="193">
        <f>U10/S10</f>
        <v>9000</v>
      </c>
      <c r="U10" s="194">
        <v>90000</v>
      </c>
      <c r="V10" s="195">
        <v>9000</v>
      </c>
      <c r="W10" s="196">
        <f t="shared" si="3"/>
        <v>90000</v>
      </c>
    </row>
    <row r="11" spans="1:46" x14ac:dyDescent="0.25">
      <c r="A11" s="294"/>
      <c r="B11" s="294"/>
      <c r="C11" s="295"/>
      <c r="D11" s="296"/>
      <c r="E11" s="294"/>
      <c r="F11" s="296"/>
      <c r="G11" s="296"/>
      <c r="H11" s="296"/>
      <c r="I11" s="297"/>
      <c r="J11" s="298"/>
      <c r="K11" s="299" t="s">
        <v>231</v>
      </c>
      <c r="L11" s="299"/>
      <c r="M11" s="296"/>
      <c r="N11" s="296" t="s">
        <v>231</v>
      </c>
      <c r="O11" s="300"/>
      <c r="P11" s="299"/>
      <c r="Q11" s="301"/>
      <c r="S11" s="93">
        <v>15</v>
      </c>
      <c r="T11" s="193">
        <v>6500</v>
      </c>
      <c r="U11" s="213">
        <v>93750</v>
      </c>
      <c r="V11" s="195">
        <v>6250</v>
      </c>
      <c r="W11" s="196">
        <f t="shared" si="3"/>
        <v>93750</v>
      </c>
    </row>
    <row r="12" spans="1:46" x14ac:dyDescent="0.25">
      <c r="A12" s="302"/>
      <c r="B12" s="302"/>
      <c r="C12" s="303"/>
      <c r="D12" s="304"/>
      <c r="E12" s="302"/>
      <c r="F12" s="304"/>
      <c r="G12" s="304"/>
      <c r="H12" s="304"/>
      <c r="I12" s="305"/>
      <c r="J12" s="306"/>
      <c r="K12" s="307" t="s">
        <v>234</v>
      </c>
      <c r="L12" s="304">
        <f>G10/K10</f>
        <v>3989.4731124388918</v>
      </c>
      <c r="M12" s="304"/>
      <c r="N12" s="304" t="s">
        <v>235</v>
      </c>
      <c r="O12" s="308">
        <f>G10/K10/43560</f>
        <v>9.1585700469212397E-2</v>
      </c>
      <c r="P12" s="307"/>
      <c r="Q12" s="309"/>
      <c r="S12" s="93">
        <v>20</v>
      </c>
      <c r="T12" s="193">
        <f t="shared" ref="T12:T17" si="4">U12/S12</f>
        <v>5000</v>
      </c>
      <c r="U12" s="194">
        <v>100000</v>
      </c>
      <c r="V12" s="195">
        <v>5000</v>
      </c>
      <c r="W12" s="196">
        <f t="shared" si="3"/>
        <v>100000</v>
      </c>
    </row>
    <row r="13" spans="1:46" x14ac:dyDescent="0.25">
      <c r="F13" s="262"/>
      <c r="I13" s="265"/>
      <c r="J13" s="265"/>
      <c r="M13" s="266"/>
      <c r="N13" s="51"/>
      <c r="O13" s="184"/>
      <c r="P13" s="184"/>
      <c r="S13" s="93">
        <v>25</v>
      </c>
      <c r="T13" s="193">
        <f t="shared" si="4"/>
        <v>4250</v>
      </c>
      <c r="U13" s="194">
        <v>106250</v>
      </c>
      <c r="V13" s="195">
        <v>4250</v>
      </c>
      <c r="W13" s="196">
        <f t="shared" si="3"/>
        <v>106250</v>
      </c>
    </row>
    <row r="14" spans="1:46" x14ac:dyDescent="0.25">
      <c r="F14" s="262"/>
      <c r="I14" s="265"/>
      <c r="J14" s="265"/>
      <c r="M14" s="266"/>
      <c r="N14" s="51"/>
      <c r="O14" s="184"/>
      <c r="P14" s="184"/>
      <c r="S14" s="93">
        <v>30</v>
      </c>
      <c r="T14" s="193">
        <f t="shared" si="4"/>
        <v>3750</v>
      </c>
      <c r="U14" s="194">
        <v>112500</v>
      </c>
      <c r="V14" s="195">
        <v>3750</v>
      </c>
      <c r="W14" s="196">
        <f t="shared" si="3"/>
        <v>112500</v>
      </c>
    </row>
    <row r="15" spans="1:46" x14ac:dyDescent="0.25">
      <c r="A15" s="310"/>
      <c r="B15" s="311"/>
      <c r="D15" s="310"/>
      <c r="E15" s="311"/>
      <c r="F15" s="311"/>
      <c r="H15" s="402" t="s">
        <v>333</v>
      </c>
      <c r="I15" s="402"/>
      <c r="J15" s="312">
        <v>1</v>
      </c>
      <c r="K15" s="313">
        <f>W2</f>
        <v>50000</v>
      </c>
      <c r="L15" s="312">
        <v>3</v>
      </c>
      <c r="M15" s="313">
        <f>W6</f>
        <v>76500</v>
      </c>
      <c r="N15" s="312">
        <v>10</v>
      </c>
      <c r="O15" s="313">
        <f>W10</f>
        <v>90000</v>
      </c>
      <c r="P15" s="312">
        <v>30</v>
      </c>
      <c r="Q15" s="313">
        <f>W14</f>
        <v>112500</v>
      </c>
      <c r="S15" s="93">
        <v>40</v>
      </c>
      <c r="T15" s="193">
        <f t="shared" si="4"/>
        <v>3000</v>
      </c>
      <c r="U15" s="194">
        <v>120000</v>
      </c>
      <c r="V15" s="195">
        <v>3250</v>
      </c>
      <c r="W15" s="196">
        <f t="shared" si="3"/>
        <v>130000</v>
      </c>
    </row>
    <row r="16" spans="1:46" x14ac:dyDescent="0.25">
      <c r="A16" s="51"/>
      <c r="B16" s="314"/>
      <c r="D16" s="51"/>
      <c r="E16" s="314"/>
      <c r="F16" s="314"/>
      <c r="H16" s="270"/>
      <c r="I16" s="271"/>
      <c r="J16" s="54">
        <v>1.5</v>
      </c>
      <c r="K16" s="55">
        <f>W3</f>
        <v>60000</v>
      </c>
      <c r="L16" s="54">
        <v>4</v>
      </c>
      <c r="M16" s="55">
        <f t="shared" ref="M16:M18" si="5">W7</f>
        <v>80000</v>
      </c>
      <c r="N16" s="54">
        <v>15</v>
      </c>
      <c r="O16" s="55">
        <f>W11</f>
        <v>93750</v>
      </c>
      <c r="P16" s="54">
        <v>40</v>
      </c>
      <c r="Q16" s="55">
        <f t="shared" ref="Q16:Q18" si="6">W15</f>
        <v>130000</v>
      </c>
      <c r="S16" s="93">
        <v>50</v>
      </c>
      <c r="T16" s="193">
        <f t="shared" si="4"/>
        <v>2800</v>
      </c>
      <c r="U16" s="194">
        <v>140000</v>
      </c>
      <c r="V16" s="195">
        <v>3000</v>
      </c>
      <c r="W16" s="196">
        <f t="shared" si="3"/>
        <v>150000</v>
      </c>
    </row>
    <row r="17" spans="1:23" ht="15.75" thickBot="1" x14ac:dyDescent="0.3">
      <c r="A17" s="398" t="s">
        <v>303</v>
      </c>
      <c r="B17" s="398"/>
      <c r="C17" s="398"/>
      <c r="D17" s="398"/>
      <c r="E17" s="398"/>
      <c r="F17" s="398"/>
      <c r="G17" s="398"/>
      <c r="H17" s="398"/>
      <c r="I17" s="271"/>
      <c r="J17" s="312">
        <v>2</v>
      </c>
      <c r="K17" s="313">
        <f>W4</f>
        <v>70000</v>
      </c>
      <c r="L17" s="312">
        <v>5</v>
      </c>
      <c r="M17" s="313">
        <f t="shared" si="5"/>
        <v>85000</v>
      </c>
      <c r="N17" s="312">
        <v>20</v>
      </c>
      <c r="O17" s="313">
        <f>W12</f>
        <v>100000</v>
      </c>
      <c r="P17" s="312">
        <v>50</v>
      </c>
      <c r="Q17" s="313">
        <f t="shared" si="6"/>
        <v>150000</v>
      </c>
      <c r="S17" s="93">
        <v>100</v>
      </c>
      <c r="T17" s="193">
        <f t="shared" si="4"/>
        <v>2500</v>
      </c>
      <c r="U17" s="213">
        <v>250000</v>
      </c>
      <c r="V17" s="222">
        <v>2750</v>
      </c>
      <c r="W17" s="223">
        <f t="shared" si="3"/>
        <v>275000</v>
      </c>
    </row>
    <row r="18" spans="1:23" x14ac:dyDescent="0.25">
      <c r="A18" s="51"/>
      <c r="B18" s="314"/>
      <c r="E18" s="262"/>
      <c r="F18" s="262"/>
      <c r="H18" s="272"/>
      <c r="I18" s="272"/>
      <c r="J18" s="54">
        <v>2.5</v>
      </c>
      <c r="K18" s="55">
        <f>W5</f>
        <v>75000</v>
      </c>
      <c r="L18" s="54">
        <v>7</v>
      </c>
      <c r="M18" s="55">
        <f t="shared" si="5"/>
        <v>87500</v>
      </c>
      <c r="N18" s="54">
        <v>25</v>
      </c>
      <c r="O18" s="55">
        <f>W13</f>
        <v>106250</v>
      </c>
      <c r="P18" s="54">
        <v>100</v>
      </c>
      <c r="Q18" s="55">
        <f t="shared" si="6"/>
        <v>275000</v>
      </c>
      <c r="U18" s="403" t="s">
        <v>289</v>
      </c>
      <c r="V18" s="403"/>
    </row>
    <row r="19" spans="1:23" x14ac:dyDescent="0.25">
      <c r="A19" s="51"/>
      <c r="B19" s="314"/>
      <c r="I19" s="262"/>
      <c r="J19" s="263"/>
      <c r="K19" s="264"/>
      <c r="L19" s="265"/>
      <c r="M19" s="265"/>
      <c r="N19" s="262"/>
      <c r="O19" s="262"/>
      <c r="P19" s="266"/>
    </row>
    <row r="20" spans="1:23" x14ac:dyDescent="0.25">
      <c r="A20" s="51"/>
      <c r="B20" s="314"/>
      <c r="I20" s="262"/>
      <c r="J20" s="263"/>
      <c r="K20" s="264"/>
      <c r="L20" s="265"/>
      <c r="M20" s="265"/>
      <c r="N20" s="262"/>
      <c r="O20" s="262"/>
      <c r="P20" s="266"/>
    </row>
    <row r="21" spans="1:23" x14ac:dyDescent="0.25">
      <c r="A21" s="51"/>
      <c r="B21" s="314"/>
      <c r="I21" s="262"/>
      <c r="J21" s="263"/>
      <c r="K21" s="264"/>
      <c r="L21" s="265"/>
      <c r="M21" s="265"/>
      <c r="N21" s="262"/>
      <c r="O21" s="262"/>
      <c r="P21" s="266"/>
      <c r="S21" s="67"/>
      <c r="T21" s="67" t="s">
        <v>260</v>
      </c>
      <c r="U21" s="182" t="s">
        <v>261</v>
      </c>
      <c r="V21" s="182" t="s">
        <v>260</v>
      </c>
      <c r="W21" s="183" t="s">
        <v>261</v>
      </c>
    </row>
    <row r="22" spans="1:23" x14ac:dyDescent="0.25">
      <c r="A22" s="51"/>
      <c r="B22" s="314"/>
      <c r="I22" s="262"/>
      <c r="J22" s="263"/>
      <c r="K22" s="264"/>
      <c r="L22" s="265"/>
      <c r="M22" s="265"/>
      <c r="N22" s="262"/>
      <c r="O22" s="262"/>
      <c r="P22" s="266"/>
      <c r="S22" s="93">
        <v>1</v>
      </c>
      <c r="T22" s="193">
        <f t="shared" ref="T22:T29" si="7">U22/S22</f>
        <v>50000</v>
      </c>
      <c r="U22" s="194">
        <v>50000</v>
      </c>
      <c r="V22" s="195">
        <v>50000</v>
      </c>
      <c r="W22" s="196">
        <f>S22*V22</f>
        <v>50000</v>
      </c>
    </row>
    <row r="23" spans="1:23" x14ac:dyDescent="0.25">
      <c r="A23" s="51"/>
      <c r="B23" s="314"/>
      <c r="I23" s="262"/>
      <c r="J23" s="263"/>
      <c r="K23" s="264"/>
      <c r="L23" s="265"/>
      <c r="M23" s="265"/>
      <c r="N23" s="262"/>
      <c r="O23" s="262"/>
      <c r="P23" s="266"/>
      <c r="S23" s="93">
        <v>1.5</v>
      </c>
      <c r="T23" s="193">
        <f t="shared" si="7"/>
        <v>40000</v>
      </c>
      <c r="U23" s="194">
        <v>60000</v>
      </c>
      <c r="V23" s="195">
        <v>40000</v>
      </c>
      <c r="W23" s="196">
        <f t="shared" ref="W23:W37" si="8">S23*V23</f>
        <v>60000</v>
      </c>
    </row>
    <row r="24" spans="1:23" x14ac:dyDescent="0.25">
      <c r="A24" s="51"/>
      <c r="B24" s="314"/>
      <c r="I24" s="262"/>
      <c r="J24" s="263"/>
      <c r="K24" s="264"/>
      <c r="L24" s="265"/>
      <c r="M24" s="265"/>
      <c r="N24" s="262"/>
      <c r="O24" s="262"/>
      <c r="P24" s="266"/>
      <c r="S24" s="93">
        <v>2</v>
      </c>
      <c r="T24" s="193">
        <f t="shared" si="7"/>
        <v>35000</v>
      </c>
      <c r="U24" s="194">
        <v>70000</v>
      </c>
      <c r="V24" s="195">
        <v>35000</v>
      </c>
      <c r="W24" s="196">
        <f t="shared" si="8"/>
        <v>70000</v>
      </c>
    </row>
    <row r="25" spans="1:23" x14ac:dyDescent="0.25">
      <c r="A25" s="51"/>
      <c r="B25" s="314"/>
      <c r="I25" s="262"/>
      <c r="J25" s="263"/>
      <c r="K25" s="264"/>
      <c r="L25" s="265"/>
      <c r="M25" s="265"/>
      <c r="N25" s="262"/>
      <c r="O25" s="262"/>
      <c r="P25" s="266"/>
      <c r="S25" s="93">
        <v>2.5</v>
      </c>
      <c r="T25" s="193">
        <f t="shared" si="7"/>
        <v>30000</v>
      </c>
      <c r="U25" s="194">
        <v>75000</v>
      </c>
      <c r="V25" s="195">
        <v>30000</v>
      </c>
      <c r="W25" s="196">
        <f t="shared" si="8"/>
        <v>75000</v>
      </c>
    </row>
    <row r="26" spans="1:23" x14ac:dyDescent="0.25">
      <c r="A26" s="51"/>
      <c r="B26" s="314"/>
      <c r="I26" s="262"/>
      <c r="J26" s="263"/>
      <c r="K26" s="264"/>
      <c r="L26" s="265"/>
      <c r="M26" s="265"/>
      <c r="N26" s="262"/>
      <c r="O26" s="262"/>
      <c r="P26" s="266"/>
      <c r="S26" s="93">
        <v>3</v>
      </c>
      <c r="T26" s="193">
        <f t="shared" si="7"/>
        <v>25500</v>
      </c>
      <c r="U26" s="194">
        <v>76500</v>
      </c>
      <c r="V26" s="195">
        <v>25500</v>
      </c>
      <c r="W26" s="196">
        <f t="shared" si="8"/>
        <v>76500</v>
      </c>
    </row>
    <row r="27" spans="1:23" x14ac:dyDescent="0.25">
      <c r="A27" s="51"/>
      <c r="B27" s="314"/>
      <c r="I27" s="262"/>
      <c r="J27" s="263"/>
      <c r="K27" s="264"/>
      <c r="L27" s="265"/>
      <c r="M27" s="265"/>
      <c r="N27" s="262"/>
      <c r="O27" s="262"/>
      <c r="P27" s="266"/>
      <c r="S27" s="93">
        <v>4</v>
      </c>
      <c r="T27" s="193">
        <f t="shared" si="7"/>
        <v>20000</v>
      </c>
      <c r="U27" s="194">
        <v>80000</v>
      </c>
      <c r="V27" s="195">
        <v>20000</v>
      </c>
      <c r="W27" s="196">
        <f t="shared" si="8"/>
        <v>80000</v>
      </c>
    </row>
    <row r="28" spans="1:23" x14ac:dyDescent="0.25">
      <c r="S28" s="93">
        <v>5</v>
      </c>
      <c r="T28" s="193">
        <f t="shared" si="7"/>
        <v>17000</v>
      </c>
      <c r="U28" s="194">
        <v>85000</v>
      </c>
      <c r="V28" s="195">
        <v>17000</v>
      </c>
      <c r="W28" s="196">
        <f t="shared" si="8"/>
        <v>85000</v>
      </c>
    </row>
    <row r="29" spans="1:23" x14ac:dyDescent="0.25">
      <c r="S29" s="93">
        <v>7</v>
      </c>
      <c r="T29" s="193">
        <f t="shared" si="7"/>
        <v>12500</v>
      </c>
      <c r="U29" s="213">
        <v>87500</v>
      </c>
      <c r="V29" s="195">
        <v>12500</v>
      </c>
      <c r="W29" s="196">
        <f t="shared" si="8"/>
        <v>87500</v>
      </c>
    </row>
    <row r="30" spans="1:23" x14ac:dyDescent="0.25">
      <c r="S30" s="93">
        <v>10</v>
      </c>
      <c r="T30" s="193">
        <f>U30/S30</f>
        <v>9000</v>
      </c>
      <c r="U30" s="194">
        <v>90000</v>
      </c>
      <c r="V30" s="195">
        <v>9000</v>
      </c>
      <c r="W30" s="196">
        <f t="shared" si="8"/>
        <v>90000</v>
      </c>
    </row>
    <row r="31" spans="1:23" x14ac:dyDescent="0.25">
      <c r="S31" s="93">
        <v>15</v>
      </c>
      <c r="T31" s="193">
        <v>6500</v>
      </c>
      <c r="U31" s="213">
        <v>93750</v>
      </c>
      <c r="V31" s="195">
        <v>6250</v>
      </c>
      <c r="W31" s="196">
        <f t="shared" si="8"/>
        <v>93750</v>
      </c>
    </row>
    <row r="32" spans="1:23" x14ac:dyDescent="0.25">
      <c r="S32" s="93">
        <v>20</v>
      </c>
      <c r="T32" s="193">
        <f t="shared" ref="T32:T37" si="9">U32/S32</f>
        <v>5000</v>
      </c>
      <c r="U32" s="194">
        <v>100000</v>
      </c>
      <c r="V32" s="195">
        <v>5000</v>
      </c>
      <c r="W32" s="196">
        <f t="shared" si="8"/>
        <v>100000</v>
      </c>
    </row>
    <row r="33" spans="19:23" x14ac:dyDescent="0.25">
      <c r="S33" s="93">
        <v>25</v>
      </c>
      <c r="T33" s="193">
        <f t="shared" si="9"/>
        <v>4250</v>
      </c>
      <c r="U33" s="194">
        <v>106250</v>
      </c>
      <c r="V33" s="195">
        <v>4250</v>
      </c>
      <c r="W33" s="196">
        <f t="shared" si="8"/>
        <v>106250</v>
      </c>
    </row>
    <row r="34" spans="19:23" x14ac:dyDescent="0.25">
      <c r="S34" s="93">
        <v>30</v>
      </c>
      <c r="T34" s="193">
        <f t="shared" si="9"/>
        <v>3750</v>
      </c>
      <c r="U34" s="194">
        <v>112500</v>
      </c>
      <c r="V34" s="195">
        <v>3750</v>
      </c>
      <c r="W34" s="196">
        <f t="shared" si="8"/>
        <v>112500</v>
      </c>
    </row>
    <row r="35" spans="19:23" x14ac:dyDescent="0.25">
      <c r="S35" s="93">
        <v>40</v>
      </c>
      <c r="T35" s="193">
        <f t="shared" si="9"/>
        <v>3000</v>
      </c>
      <c r="U35" s="194">
        <v>120000</v>
      </c>
      <c r="V35" s="195">
        <v>3000</v>
      </c>
      <c r="W35" s="196">
        <f t="shared" si="8"/>
        <v>120000</v>
      </c>
    </row>
    <row r="36" spans="19:23" x14ac:dyDescent="0.25">
      <c r="S36" s="93">
        <v>50</v>
      </c>
      <c r="T36" s="193">
        <f t="shared" si="9"/>
        <v>2800</v>
      </c>
      <c r="U36" s="194">
        <v>140000</v>
      </c>
      <c r="V36" s="195">
        <v>2800</v>
      </c>
      <c r="W36" s="196">
        <f t="shared" si="8"/>
        <v>140000</v>
      </c>
    </row>
    <row r="37" spans="19:23" ht="15.75" thickBot="1" x14ac:dyDescent="0.3">
      <c r="S37" s="93">
        <v>100</v>
      </c>
      <c r="T37" s="193">
        <f t="shared" si="9"/>
        <v>2500</v>
      </c>
      <c r="U37" s="213">
        <v>250000</v>
      </c>
      <c r="V37" s="222">
        <v>2500</v>
      </c>
      <c r="W37" s="223">
        <f t="shared" si="8"/>
        <v>250000</v>
      </c>
    </row>
  </sheetData>
  <mergeCells count="3">
    <mergeCell ref="H15:I15"/>
    <mergeCell ref="A17:H17"/>
    <mergeCell ref="U18:V18"/>
  </mergeCells>
  <pageMargins left="0.25" right="0.25" top="0.75" bottom="0.75" header="0.3" footer="0.3"/>
  <pageSetup scale="65" orientation="landscape" r:id="rId1"/>
  <headerFooter>
    <oddHeader xml:space="preserve">&amp;L&amp;"Baskerville Old Face,Bold"&amp;20Dayton Township&amp;C&amp;"Baskerville Old Face,Bold"&amp;20 2025 Land Value Analysis and Determination&amp;R&amp;"Baskerville Old Face,Regular"&amp;16 </oddHeader>
    <oddFooter>&amp;L&amp;"Baskerville Old Face,Regular"&amp;16&amp;A&amp;C&amp;"Baguet Script,Bold"&amp;20Mid-Michigan Assessing Services, LLC</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91B20-E3F3-4FD6-9981-71867DEEF500}">
  <sheetPr>
    <pageSetUpPr fitToPage="1"/>
  </sheetPr>
  <dimension ref="A1:AS18"/>
  <sheetViews>
    <sheetView view="pageLayout" topLeftCell="F1" zoomScaleNormal="100" zoomScaleSheetLayoutView="100" workbookViewId="0">
      <selection activeCell="I22" sqref="I22"/>
    </sheetView>
  </sheetViews>
  <sheetFormatPr defaultRowHeight="15" x14ac:dyDescent="0.25"/>
  <cols>
    <col min="1" max="1" width="19.140625" style="184" bestFit="1" customWidth="1"/>
    <col min="2" max="2" width="19.42578125" style="184" hidden="1" customWidth="1"/>
    <col min="3" max="3" width="11.42578125" style="261" customWidth="1"/>
    <col min="4" max="4" width="11.85546875" style="262" bestFit="1" customWidth="1"/>
    <col min="5" max="5" width="7.7109375" style="184" customWidth="1"/>
    <col min="6" max="6" width="12.5703125" style="262" bestFit="1" customWidth="1"/>
    <col min="7" max="7" width="13.28515625" style="262" bestFit="1" customWidth="1"/>
    <col min="8" max="8" width="14.42578125" style="262" bestFit="1" customWidth="1"/>
    <col min="9" max="9" width="13.28515625" style="263" customWidth="1"/>
    <col min="10" max="10" width="8.5703125" style="264" customWidth="1"/>
    <col min="11" max="11" width="14.28515625" style="265" bestFit="1" customWidth="1"/>
    <col min="12" max="12" width="12.85546875" style="265" customWidth="1"/>
    <col min="13" max="13" width="10" style="262" bestFit="1" customWidth="1"/>
    <col min="14" max="14" width="12" style="262" bestFit="1" customWidth="1"/>
    <col min="15" max="15" width="11.85546875" style="266" bestFit="1" customWidth="1"/>
    <col min="16" max="16" width="10.85546875" style="51" customWidth="1"/>
    <col min="17" max="17" width="21.28515625" style="221" customWidth="1"/>
    <col min="18" max="16384" width="9.140625" style="184"/>
  </cols>
  <sheetData>
    <row r="1" spans="1:45" ht="30" x14ac:dyDescent="0.25">
      <c r="A1" s="70" t="s">
        <v>0</v>
      </c>
      <c r="B1" s="70" t="s">
        <v>1</v>
      </c>
      <c r="C1" s="71" t="s">
        <v>2</v>
      </c>
      <c r="D1" s="72" t="s">
        <v>3</v>
      </c>
      <c r="E1" s="70" t="s">
        <v>4</v>
      </c>
      <c r="F1" s="72" t="s">
        <v>254</v>
      </c>
      <c r="G1" s="72" t="s">
        <v>255</v>
      </c>
      <c r="H1" s="72" t="s">
        <v>256</v>
      </c>
      <c r="I1" s="73" t="s">
        <v>12</v>
      </c>
      <c r="J1" s="74" t="s">
        <v>13</v>
      </c>
      <c r="K1" s="75" t="s">
        <v>14</v>
      </c>
      <c r="L1" s="75" t="s">
        <v>15</v>
      </c>
      <c r="M1" s="72" t="s">
        <v>257</v>
      </c>
      <c r="N1" s="72" t="s">
        <v>258</v>
      </c>
      <c r="O1" s="76" t="s">
        <v>259</v>
      </c>
      <c r="P1" s="77" t="s">
        <v>20</v>
      </c>
      <c r="Q1" s="78" t="s">
        <v>22</v>
      </c>
      <c r="R1" s="181"/>
      <c r="S1" s="67"/>
      <c r="T1" s="67" t="s">
        <v>260</v>
      </c>
      <c r="U1" s="182" t="s">
        <v>261</v>
      </c>
      <c r="V1" s="182" t="s">
        <v>260</v>
      </c>
      <c r="W1" s="183" t="s">
        <v>261</v>
      </c>
      <c r="X1" s="181"/>
      <c r="Y1" s="181"/>
      <c r="Z1" s="181"/>
      <c r="AA1" s="181"/>
      <c r="AB1" s="181"/>
      <c r="AC1" s="181"/>
      <c r="AD1" s="181"/>
      <c r="AE1" s="181"/>
      <c r="AF1" s="181"/>
      <c r="AG1" s="181"/>
      <c r="AH1" s="181"/>
      <c r="AI1" s="181"/>
      <c r="AJ1" s="181"/>
      <c r="AK1" s="181"/>
      <c r="AL1" s="181"/>
      <c r="AM1" s="181"/>
      <c r="AN1" s="181"/>
      <c r="AO1" s="181"/>
      <c r="AP1" s="181"/>
      <c r="AQ1" s="181"/>
      <c r="AR1" s="181"/>
      <c r="AS1" s="181"/>
    </row>
    <row r="2" spans="1:45" x14ac:dyDescent="0.25">
      <c r="A2" s="184" t="s">
        <v>314</v>
      </c>
      <c r="B2" s="184" t="s">
        <v>315</v>
      </c>
      <c r="C2" s="261">
        <v>44609</v>
      </c>
      <c r="D2" s="262">
        <v>310000</v>
      </c>
      <c r="E2" s="184" t="s">
        <v>32</v>
      </c>
      <c r="F2" s="262">
        <v>310000</v>
      </c>
      <c r="G2" s="262">
        <f>F2-255350</f>
        <v>54650</v>
      </c>
      <c r="H2" s="262">
        <v>141120</v>
      </c>
      <c r="K2" s="265">
        <v>10.08</v>
      </c>
      <c r="L2" s="265">
        <v>10.08</v>
      </c>
      <c r="N2" s="262">
        <f t="shared" ref="N2:N5" si="0">G2/K2</f>
        <v>5421.6269841269841</v>
      </c>
      <c r="O2" s="266">
        <f t="shared" ref="O2:O5" si="1">G2/K2/43560</f>
        <v>0.12446342938767181</v>
      </c>
      <c r="P2" s="192" t="s">
        <v>57</v>
      </c>
      <c r="S2" s="93">
        <v>1</v>
      </c>
      <c r="T2" s="193">
        <f t="shared" ref="T2:T17" si="2">U2/S2</f>
        <v>60000</v>
      </c>
      <c r="U2" s="194">
        <v>60000</v>
      </c>
      <c r="V2" s="195">
        <v>60000</v>
      </c>
      <c r="W2" s="196">
        <f>S2*V2</f>
        <v>60000</v>
      </c>
    </row>
    <row r="3" spans="1:45" x14ac:dyDescent="0.25">
      <c r="A3" s="184" t="s">
        <v>58</v>
      </c>
      <c r="B3" s="184" t="s">
        <v>316</v>
      </c>
      <c r="C3" s="261">
        <v>44679</v>
      </c>
      <c r="D3" s="262">
        <v>140000</v>
      </c>
      <c r="E3" s="184" t="s">
        <v>32</v>
      </c>
      <c r="F3" s="262">
        <v>140000</v>
      </c>
      <c r="G3" s="262">
        <f>F3-0</f>
        <v>140000</v>
      </c>
      <c r="H3" s="262">
        <v>78112</v>
      </c>
      <c r="K3" s="265">
        <v>4.5199999999999996</v>
      </c>
      <c r="L3" s="265">
        <v>4.5199999999999996</v>
      </c>
      <c r="N3" s="262">
        <f t="shared" si="0"/>
        <v>30973.451327433631</v>
      </c>
      <c r="O3" s="266">
        <f t="shared" si="1"/>
        <v>0.71105260163989048</v>
      </c>
      <c r="P3" s="192" t="s">
        <v>57</v>
      </c>
      <c r="S3" s="93">
        <v>1.5</v>
      </c>
      <c r="T3" s="193">
        <f t="shared" si="2"/>
        <v>45000</v>
      </c>
      <c r="U3" s="194">
        <v>67500</v>
      </c>
      <c r="V3" s="195">
        <v>45000</v>
      </c>
      <c r="W3" s="196">
        <f t="shared" ref="W3:W17" si="3">S3*V3</f>
        <v>67500</v>
      </c>
    </row>
    <row r="4" spans="1:45" x14ac:dyDescent="0.25">
      <c r="A4" s="184" t="s">
        <v>317</v>
      </c>
      <c r="B4" s="184" t="s">
        <v>316</v>
      </c>
      <c r="C4" s="261">
        <v>44432</v>
      </c>
      <c r="D4" s="262">
        <v>146000</v>
      </c>
      <c r="E4" s="184" t="s">
        <v>32</v>
      </c>
      <c r="F4" s="262">
        <v>146000</v>
      </c>
      <c r="G4" s="262">
        <f>F4-0</f>
        <v>146000</v>
      </c>
      <c r="H4" s="262">
        <v>140560</v>
      </c>
      <c r="K4" s="265">
        <v>10.039999999999999</v>
      </c>
      <c r="L4" s="265">
        <v>10.039999999999999</v>
      </c>
      <c r="N4" s="262">
        <f t="shared" si="0"/>
        <v>14541.83266932271</v>
      </c>
      <c r="O4" s="266">
        <f t="shared" si="1"/>
        <v>0.33383454245460764</v>
      </c>
      <c r="P4" s="192" t="s">
        <v>57</v>
      </c>
      <c r="S4" s="93">
        <v>2</v>
      </c>
      <c r="T4" s="193">
        <f t="shared" si="2"/>
        <v>35000</v>
      </c>
      <c r="U4" s="194">
        <v>70000</v>
      </c>
      <c r="V4" s="195">
        <v>35000</v>
      </c>
      <c r="W4" s="196">
        <f t="shared" si="3"/>
        <v>70000</v>
      </c>
    </row>
    <row r="5" spans="1:45" x14ac:dyDescent="0.25">
      <c r="A5" s="184" t="s">
        <v>56</v>
      </c>
      <c r="B5" s="184" t="s">
        <v>318</v>
      </c>
      <c r="C5" s="261">
        <v>44740</v>
      </c>
      <c r="D5" s="262">
        <v>425000</v>
      </c>
      <c r="E5" s="184" t="s">
        <v>32</v>
      </c>
      <c r="F5" s="262">
        <v>425000</v>
      </c>
      <c r="G5" s="262">
        <f>F5-227920</f>
        <v>197080</v>
      </c>
      <c r="H5" s="262">
        <v>105420</v>
      </c>
      <c r="K5" s="265">
        <v>10.039999999999999</v>
      </c>
      <c r="L5" s="265">
        <v>10.039999999999999</v>
      </c>
      <c r="N5" s="262">
        <f t="shared" si="0"/>
        <v>19629.482071713148</v>
      </c>
      <c r="O5" s="266">
        <f t="shared" si="1"/>
        <v>0.45063090155447999</v>
      </c>
      <c r="P5" s="192" t="s">
        <v>57</v>
      </c>
      <c r="S5" s="93">
        <v>2.5</v>
      </c>
      <c r="T5" s="193">
        <f t="shared" si="2"/>
        <v>30000</v>
      </c>
      <c r="U5" s="194">
        <v>75000</v>
      </c>
      <c r="V5" s="195">
        <v>30000</v>
      </c>
      <c r="W5" s="196">
        <f t="shared" si="3"/>
        <v>75000</v>
      </c>
    </row>
    <row r="6" spans="1:45" x14ac:dyDescent="0.25">
      <c r="A6" s="245"/>
      <c r="B6" s="245"/>
      <c r="C6" s="246" t="s">
        <v>229</v>
      </c>
      <c r="D6" s="247">
        <f>+SUM(D2:D5)</f>
        <v>1021000</v>
      </c>
      <c r="E6" s="245"/>
      <c r="F6" s="247">
        <f>+SUM(F2:F5)</f>
        <v>1021000</v>
      </c>
      <c r="G6" s="247">
        <f>+SUM(G2:G5)</f>
        <v>537730</v>
      </c>
      <c r="H6" s="247">
        <f>+SUM(H2:H5)</f>
        <v>465212</v>
      </c>
      <c r="I6" s="248"/>
      <c r="J6" s="249"/>
      <c r="K6" s="250">
        <f>+SUM(K2:K5)</f>
        <v>34.68</v>
      </c>
      <c r="L6" s="250">
        <f>+SUM(L2:L5)</f>
        <v>34.68</v>
      </c>
      <c r="M6" s="247"/>
      <c r="N6" s="247"/>
      <c r="O6" s="251"/>
      <c r="P6" s="77"/>
      <c r="Q6" s="273"/>
      <c r="S6" s="93">
        <v>3</v>
      </c>
      <c r="T6" s="193">
        <f t="shared" si="2"/>
        <v>25500</v>
      </c>
      <c r="U6" s="194">
        <v>76500</v>
      </c>
      <c r="V6" s="195">
        <v>25500</v>
      </c>
      <c r="W6" s="196">
        <f t="shared" si="3"/>
        <v>76500</v>
      </c>
    </row>
    <row r="7" spans="1:45" x14ac:dyDescent="0.25">
      <c r="A7" s="245"/>
      <c r="B7" s="245"/>
      <c r="C7" s="246"/>
      <c r="D7" s="247"/>
      <c r="E7" s="245"/>
      <c r="F7" s="247"/>
      <c r="G7" s="247"/>
      <c r="H7" s="247"/>
      <c r="I7" s="248"/>
      <c r="J7" s="249"/>
      <c r="K7" s="250" t="s">
        <v>231</v>
      </c>
      <c r="L7" s="250"/>
      <c r="M7" s="247"/>
      <c r="N7" s="247" t="s">
        <v>231</v>
      </c>
      <c r="O7" s="251"/>
      <c r="P7" s="77"/>
      <c r="Q7" s="273"/>
      <c r="S7" s="93">
        <v>4</v>
      </c>
      <c r="T7" s="193">
        <f t="shared" si="2"/>
        <v>20000</v>
      </c>
      <c r="U7" s="194">
        <v>80000</v>
      </c>
      <c r="V7" s="195">
        <v>20000</v>
      </c>
      <c r="W7" s="196">
        <f t="shared" si="3"/>
        <v>80000</v>
      </c>
    </row>
    <row r="8" spans="1:45" x14ac:dyDescent="0.25">
      <c r="A8" s="252"/>
      <c r="B8" s="252"/>
      <c r="C8" s="253"/>
      <c r="D8" s="254"/>
      <c r="E8" s="252"/>
      <c r="F8" s="254"/>
      <c r="G8" s="254"/>
      <c r="H8" s="254"/>
      <c r="I8" s="255"/>
      <c r="J8" s="256"/>
      <c r="K8" s="257" t="s">
        <v>234</v>
      </c>
      <c r="L8" s="257">
        <f>G6/K6</f>
        <v>15505.478662053056</v>
      </c>
      <c r="M8" s="254"/>
      <c r="N8" s="254" t="s">
        <v>235</v>
      </c>
      <c r="O8" s="258">
        <f>G6/K6/43560</f>
        <v>0.35595681042362387</v>
      </c>
      <c r="P8" s="259"/>
      <c r="Q8" s="274"/>
      <c r="S8" s="93">
        <v>5</v>
      </c>
      <c r="T8" s="193">
        <f t="shared" si="2"/>
        <v>16250</v>
      </c>
      <c r="U8" s="194">
        <v>81250</v>
      </c>
      <c r="V8" s="195">
        <v>16250</v>
      </c>
      <c r="W8" s="196">
        <f t="shared" si="3"/>
        <v>81250</v>
      </c>
    </row>
    <row r="9" spans="1:45" x14ac:dyDescent="0.25">
      <c r="S9" s="93">
        <v>7</v>
      </c>
      <c r="T9" s="193">
        <f t="shared" si="2"/>
        <v>15750</v>
      </c>
      <c r="U9" s="213">
        <v>110250</v>
      </c>
      <c r="V9" s="195">
        <v>15750</v>
      </c>
      <c r="W9" s="196">
        <f t="shared" si="3"/>
        <v>110250</v>
      </c>
    </row>
    <row r="10" spans="1:45" x14ac:dyDescent="0.25">
      <c r="S10" s="93">
        <v>10</v>
      </c>
      <c r="T10" s="193">
        <f t="shared" si="2"/>
        <v>15000</v>
      </c>
      <c r="U10" s="194">
        <v>150000</v>
      </c>
      <c r="V10" s="195">
        <v>15000</v>
      </c>
      <c r="W10" s="196">
        <f t="shared" si="3"/>
        <v>150000</v>
      </c>
    </row>
    <row r="11" spans="1:45" x14ac:dyDescent="0.25">
      <c r="S11" s="93">
        <v>15</v>
      </c>
      <c r="T11" s="193">
        <f t="shared" si="2"/>
        <v>14500</v>
      </c>
      <c r="U11" s="213">
        <v>217500</v>
      </c>
      <c r="V11" s="195">
        <v>14500</v>
      </c>
      <c r="W11" s="196">
        <f t="shared" si="3"/>
        <v>217500</v>
      </c>
      <c r="X11" s="275"/>
    </row>
    <row r="12" spans="1:45" x14ac:dyDescent="0.25">
      <c r="G12" s="393" t="s">
        <v>319</v>
      </c>
      <c r="H12" s="393"/>
      <c r="I12" s="393"/>
      <c r="J12" s="276">
        <v>1</v>
      </c>
      <c r="K12" s="277">
        <f>W2</f>
        <v>60000</v>
      </c>
      <c r="L12" s="276">
        <v>3</v>
      </c>
      <c r="M12" s="277">
        <f>W6</f>
        <v>76500</v>
      </c>
      <c r="N12" s="276">
        <v>10</v>
      </c>
      <c r="O12" s="277">
        <f>W10</f>
        <v>150000</v>
      </c>
      <c r="P12" s="276">
        <v>30</v>
      </c>
      <c r="Q12" s="277">
        <f>W14</f>
        <v>237000</v>
      </c>
      <c r="S12" s="93">
        <v>20</v>
      </c>
      <c r="T12" s="193">
        <f t="shared" si="2"/>
        <v>11200</v>
      </c>
      <c r="U12" s="194">
        <v>224000</v>
      </c>
      <c r="V12" s="195">
        <v>11200</v>
      </c>
      <c r="W12" s="196">
        <f t="shared" si="3"/>
        <v>224000</v>
      </c>
    </row>
    <row r="13" spans="1:45" x14ac:dyDescent="0.25">
      <c r="G13" s="184"/>
      <c r="H13" s="270"/>
      <c r="I13" s="271"/>
      <c r="J13" s="54">
        <v>1.5</v>
      </c>
      <c r="K13" s="55">
        <f t="shared" ref="K13:K15" si="4">W3</f>
        <v>67500</v>
      </c>
      <c r="L13" s="54">
        <v>4</v>
      </c>
      <c r="M13" s="55">
        <f t="shared" ref="M13:M15" si="5">W7</f>
        <v>80000</v>
      </c>
      <c r="N13" s="54">
        <v>15</v>
      </c>
      <c r="O13" s="55">
        <f t="shared" ref="O13:O15" si="6">W11</f>
        <v>217500</v>
      </c>
      <c r="P13" s="54">
        <v>40</v>
      </c>
      <c r="Q13" s="55">
        <f t="shared" ref="Q13:Q15" si="7">W15</f>
        <v>244000</v>
      </c>
      <c r="S13" s="93">
        <v>25</v>
      </c>
      <c r="T13" s="193">
        <f t="shared" si="2"/>
        <v>9200</v>
      </c>
      <c r="U13" s="194">
        <v>230000</v>
      </c>
      <c r="V13" s="195">
        <v>9200</v>
      </c>
      <c r="W13" s="196">
        <f t="shared" si="3"/>
        <v>230000</v>
      </c>
    </row>
    <row r="14" spans="1:45" x14ac:dyDescent="0.25">
      <c r="G14" s="184"/>
      <c r="H14" s="270"/>
      <c r="I14" s="271"/>
      <c r="J14" s="276">
        <v>2</v>
      </c>
      <c r="K14" s="277">
        <f t="shared" si="4"/>
        <v>70000</v>
      </c>
      <c r="L14" s="276">
        <v>5</v>
      </c>
      <c r="M14" s="277">
        <f t="shared" si="5"/>
        <v>81250</v>
      </c>
      <c r="N14" s="276">
        <v>20</v>
      </c>
      <c r="O14" s="277">
        <f t="shared" si="6"/>
        <v>224000</v>
      </c>
      <c r="P14" s="276">
        <v>50</v>
      </c>
      <c r="Q14" s="277">
        <f t="shared" si="7"/>
        <v>247500</v>
      </c>
      <c r="S14" s="93">
        <v>30</v>
      </c>
      <c r="T14" s="193">
        <f t="shared" si="2"/>
        <v>7900</v>
      </c>
      <c r="U14" s="194">
        <v>237000</v>
      </c>
      <c r="V14" s="195">
        <v>7900</v>
      </c>
      <c r="W14" s="196">
        <f t="shared" si="3"/>
        <v>237000</v>
      </c>
    </row>
    <row r="15" spans="1:45" x14ac:dyDescent="0.25">
      <c r="G15" s="184"/>
      <c r="H15" s="272"/>
      <c r="I15" s="272"/>
      <c r="J15" s="54">
        <v>2.5</v>
      </c>
      <c r="K15" s="55">
        <f t="shared" si="4"/>
        <v>75000</v>
      </c>
      <c r="L15" s="54">
        <v>7</v>
      </c>
      <c r="M15" s="55">
        <f t="shared" si="5"/>
        <v>110250</v>
      </c>
      <c r="N15" s="54">
        <v>25</v>
      </c>
      <c r="O15" s="55">
        <f t="shared" si="6"/>
        <v>230000</v>
      </c>
      <c r="P15" s="54">
        <v>100</v>
      </c>
      <c r="Q15" s="55">
        <f t="shared" si="7"/>
        <v>250000</v>
      </c>
      <c r="S15" s="93">
        <v>40</v>
      </c>
      <c r="T15" s="193">
        <f t="shared" si="2"/>
        <v>6100</v>
      </c>
      <c r="U15" s="194">
        <v>244000</v>
      </c>
      <c r="V15" s="195">
        <v>6100</v>
      </c>
      <c r="W15" s="196">
        <f t="shared" si="3"/>
        <v>244000</v>
      </c>
    </row>
    <row r="16" spans="1:45" x14ac:dyDescent="0.25">
      <c r="G16" s="263"/>
      <c r="H16" s="264"/>
      <c r="I16" s="265"/>
      <c r="J16" s="265"/>
      <c r="K16" s="262"/>
      <c r="L16" s="262"/>
      <c r="M16" s="266"/>
      <c r="N16" s="51"/>
      <c r="O16" s="221"/>
      <c r="P16" s="184"/>
      <c r="Q16" s="184"/>
      <c r="S16" s="93">
        <v>50</v>
      </c>
      <c r="T16" s="193">
        <f t="shared" si="2"/>
        <v>4950</v>
      </c>
      <c r="U16" s="194">
        <v>247500</v>
      </c>
      <c r="V16" s="195">
        <v>4950</v>
      </c>
      <c r="W16" s="196">
        <f t="shared" si="3"/>
        <v>247500</v>
      </c>
    </row>
    <row r="17" spans="7:23" ht="15.75" thickBot="1" x14ac:dyDescent="0.3">
      <c r="G17" s="263"/>
      <c r="H17" s="264"/>
      <c r="I17" s="265"/>
      <c r="J17" s="265"/>
      <c r="K17" s="262"/>
      <c r="L17" s="262"/>
      <c r="M17" s="266"/>
      <c r="N17" s="51"/>
      <c r="O17" s="221"/>
      <c r="P17" s="184"/>
      <c r="Q17" s="184"/>
      <c r="S17" s="93">
        <v>100</v>
      </c>
      <c r="T17" s="193">
        <f t="shared" si="2"/>
        <v>2500</v>
      </c>
      <c r="U17" s="213">
        <v>250000</v>
      </c>
      <c r="V17" s="222">
        <v>2500</v>
      </c>
      <c r="W17" s="223">
        <f t="shared" si="3"/>
        <v>250000</v>
      </c>
    </row>
    <row r="18" spans="7:23" x14ac:dyDescent="0.25">
      <c r="U18" s="403" t="s">
        <v>289</v>
      </c>
      <c r="V18" s="403"/>
    </row>
  </sheetData>
  <mergeCells count="2">
    <mergeCell ref="G12:I12"/>
    <mergeCell ref="U18:V18"/>
  </mergeCells>
  <pageMargins left="0.25" right="0.25" top="0.75" bottom="0.75" header="0.3" footer="0.3"/>
  <pageSetup scale="65" orientation="landscape" r:id="rId1"/>
  <headerFooter>
    <oddHeader>&amp;L&amp;"Baskerville Old Face,Bold"&amp;20Dayton Township&amp;C&amp;"Baskerville Old Face,Bold"&amp;20 2025 Land Value Analysis and Determination</oddHeader>
    <oddFooter>&amp;L&amp;"Baskerville Old Face,Regular"&amp;16&amp;A&amp;C&amp;"Baguet Script,Bold"&amp;20Mid-Michigan Assessing Services, LLC</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B070-0BB1-41B0-A800-89BE49195D66}">
  <sheetPr>
    <pageSetUpPr fitToPage="1"/>
  </sheetPr>
  <dimension ref="A1:X24"/>
  <sheetViews>
    <sheetView view="pageLayout" zoomScaleNormal="100" zoomScaleSheetLayoutView="100" workbookViewId="0">
      <selection activeCell="L18" sqref="L18"/>
    </sheetView>
  </sheetViews>
  <sheetFormatPr defaultRowHeight="15" x14ac:dyDescent="0.25"/>
  <cols>
    <col min="1" max="1" width="19.140625" bestFit="1" customWidth="1"/>
    <col min="2" max="2" width="0" hidden="1" customWidth="1"/>
    <col min="3" max="3" width="11.42578125" style="25" customWidth="1"/>
    <col min="4" max="4" width="11.85546875" style="15" bestFit="1" customWidth="1"/>
    <col min="5" max="5" width="7.7109375" customWidth="1"/>
    <col min="6" max="6" width="12.5703125" style="15" bestFit="1" customWidth="1"/>
    <col min="7" max="7" width="13.28515625" style="15" bestFit="1" customWidth="1"/>
    <col min="8" max="8" width="14.42578125" style="15" bestFit="1" customWidth="1"/>
    <col min="9" max="9" width="13.28515625" style="30" customWidth="1"/>
    <col min="10" max="10" width="8.5703125" style="34" customWidth="1"/>
    <col min="11" max="11" width="14.28515625" style="39" bestFit="1" customWidth="1"/>
    <col min="12" max="12" width="12.85546875" style="39" customWidth="1"/>
    <col min="13" max="13" width="10" style="15" bestFit="1" customWidth="1"/>
    <col min="14" max="14" width="12" style="15" bestFit="1" customWidth="1"/>
    <col min="15" max="15" width="11.85546875" style="44" bestFit="1" customWidth="1"/>
    <col min="16" max="16" width="10.85546875" style="4" customWidth="1"/>
    <col min="17" max="17" width="19.7109375" customWidth="1"/>
  </cols>
  <sheetData>
    <row r="1" spans="1:24" s="221" customFormat="1" ht="30" x14ac:dyDescent="0.25">
      <c r="A1" s="232" t="s">
        <v>0</v>
      </c>
      <c r="B1" s="233" t="s">
        <v>1</v>
      </c>
      <c r="C1" s="234" t="s">
        <v>2</v>
      </c>
      <c r="D1" s="235" t="s">
        <v>3</v>
      </c>
      <c r="E1" s="233" t="s">
        <v>4</v>
      </c>
      <c r="F1" s="235" t="s">
        <v>254</v>
      </c>
      <c r="G1" s="235" t="s">
        <v>255</v>
      </c>
      <c r="H1" s="235" t="s">
        <v>256</v>
      </c>
      <c r="I1" s="236" t="s">
        <v>12</v>
      </c>
      <c r="J1" s="237" t="s">
        <v>13</v>
      </c>
      <c r="K1" s="238" t="s">
        <v>14</v>
      </c>
      <c r="L1" s="238" t="s">
        <v>15</v>
      </c>
      <c r="M1" s="235" t="s">
        <v>257</v>
      </c>
      <c r="N1" s="235" t="s">
        <v>258</v>
      </c>
      <c r="O1" s="239" t="s">
        <v>259</v>
      </c>
      <c r="P1" s="240" t="s">
        <v>20</v>
      </c>
      <c r="Q1" s="241" t="s">
        <v>22</v>
      </c>
      <c r="R1" s="242"/>
      <c r="S1" s="242"/>
      <c r="T1" s="67"/>
      <c r="U1" s="67" t="s">
        <v>260</v>
      </c>
      <c r="V1" s="182" t="s">
        <v>261</v>
      </c>
      <c r="W1" s="182" t="s">
        <v>260</v>
      </c>
      <c r="X1" s="183" t="s">
        <v>261</v>
      </c>
    </row>
    <row r="2" spans="1:24" s="79" customFormat="1" ht="30" x14ac:dyDescent="0.2">
      <c r="A2" s="79" t="s">
        <v>99</v>
      </c>
      <c r="B2" s="79" t="s">
        <v>93</v>
      </c>
      <c r="C2" s="243">
        <v>44778</v>
      </c>
      <c r="D2" s="86">
        <v>3200</v>
      </c>
      <c r="E2" s="79" t="s">
        <v>32</v>
      </c>
      <c r="F2" s="86">
        <v>3200</v>
      </c>
      <c r="G2" s="86">
        <v>3200</v>
      </c>
      <c r="H2" s="86">
        <v>5520</v>
      </c>
      <c r="I2" s="87">
        <v>276.01512600000001</v>
      </c>
      <c r="J2" s="88">
        <v>501</v>
      </c>
      <c r="K2" s="89">
        <v>1.08</v>
      </c>
      <c r="L2" s="89">
        <v>0.36</v>
      </c>
      <c r="M2" s="86">
        <v>11.593567520643777</v>
      </c>
      <c r="N2" s="86">
        <v>2962.9629629629626</v>
      </c>
      <c r="O2" s="90">
        <v>6.802027004047205E-2</v>
      </c>
      <c r="P2" s="91" t="s">
        <v>98</v>
      </c>
      <c r="Q2" s="92" t="s">
        <v>100</v>
      </c>
      <c r="T2" s="93">
        <v>1</v>
      </c>
      <c r="U2" s="193">
        <f t="shared" ref="U2:U14" si="0">V2/T2</f>
        <v>6000</v>
      </c>
      <c r="V2" s="194">
        <v>6000</v>
      </c>
      <c r="W2" s="195">
        <v>6000</v>
      </c>
      <c r="X2" s="244">
        <f>T2*W2</f>
        <v>6000</v>
      </c>
    </row>
    <row r="3" spans="1:24" s="79" customFormat="1" ht="30" x14ac:dyDescent="0.2">
      <c r="A3" s="79" t="s">
        <v>103</v>
      </c>
      <c r="B3" s="79" t="s">
        <v>102</v>
      </c>
      <c r="C3" s="243">
        <v>44778</v>
      </c>
      <c r="D3" s="86">
        <v>3600</v>
      </c>
      <c r="E3" s="79" t="s">
        <v>101</v>
      </c>
      <c r="F3" s="86">
        <v>3600</v>
      </c>
      <c r="G3" s="86">
        <v>3600</v>
      </c>
      <c r="H3" s="86">
        <v>5520</v>
      </c>
      <c r="I3" s="87">
        <v>276.01512600000001</v>
      </c>
      <c r="J3" s="88">
        <v>501</v>
      </c>
      <c r="K3" s="89">
        <v>1.08</v>
      </c>
      <c r="L3" s="89">
        <v>0.36</v>
      </c>
      <c r="M3" s="86">
        <v>13.042763460724251</v>
      </c>
      <c r="N3" s="86">
        <v>3333.333333333333</v>
      </c>
      <c r="O3" s="90">
        <v>7.6522803795531058E-2</v>
      </c>
      <c r="P3" s="91" t="s">
        <v>98</v>
      </c>
      <c r="Q3" s="92" t="s">
        <v>104</v>
      </c>
      <c r="T3" s="93">
        <v>1.5</v>
      </c>
      <c r="U3" s="193">
        <f t="shared" si="0"/>
        <v>5500</v>
      </c>
      <c r="V3" s="194">
        <v>8250</v>
      </c>
      <c r="W3" s="195">
        <v>5500</v>
      </c>
      <c r="X3" s="244">
        <f t="shared" ref="X3:X14" si="1">T3*W3</f>
        <v>8250</v>
      </c>
    </row>
    <row r="4" spans="1:24" s="79" customFormat="1" x14ac:dyDescent="0.2">
      <c r="A4" s="79" t="s">
        <v>141</v>
      </c>
      <c r="B4" s="79" t="s">
        <v>142</v>
      </c>
      <c r="C4" s="243">
        <v>44974</v>
      </c>
      <c r="D4" s="86">
        <v>1000</v>
      </c>
      <c r="E4" s="79" t="s">
        <v>32</v>
      </c>
      <c r="F4" s="86">
        <v>1000</v>
      </c>
      <c r="G4" s="86">
        <v>1000</v>
      </c>
      <c r="H4" s="86">
        <v>4518</v>
      </c>
      <c r="I4" s="87">
        <v>90.36918</v>
      </c>
      <c r="J4" s="88">
        <v>172</v>
      </c>
      <c r="K4" s="89">
        <v>0.35499999999999998</v>
      </c>
      <c r="L4" s="89">
        <v>0.35499999999999998</v>
      </c>
      <c r="M4" s="86">
        <v>11.065719529600688</v>
      </c>
      <c r="N4" s="86">
        <v>2816.9014084507044</v>
      </c>
      <c r="O4" s="90">
        <v>6.4667158137068512E-2</v>
      </c>
      <c r="P4" s="91" t="s">
        <v>98</v>
      </c>
      <c r="Q4" s="92"/>
      <c r="T4" s="93">
        <v>2</v>
      </c>
      <c r="U4" s="193">
        <f t="shared" si="0"/>
        <v>5000</v>
      </c>
      <c r="V4" s="194">
        <v>10000</v>
      </c>
      <c r="W4" s="195">
        <v>5000</v>
      </c>
      <c r="X4" s="244">
        <f t="shared" si="1"/>
        <v>10000</v>
      </c>
    </row>
    <row r="5" spans="1:24" s="79" customFormat="1" x14ac:dyDescent="0.2">
      <c r="A5" s="79" t="s">
        <v>113</v>
      </c>
      <c r="B5" s="79" t="s">
        <v>109</v>
      </c>
      <c r="C5" s="243">
        <v>45054</v>
      </c>
      <c r="D5" s="86">
        <v>1000</v>
      </c>
      <c r="E5" s="79" t="s">
        <v>114</v>
      </c>
      <c r="F5" s="86">
        <v>1000</v>
      </c>
      <c r="G5" s="86">
        <v>1000</v>
      </c>
      <c r="H5" s="86">
        <v>941</v>
      </c>
      <c r="I5" s="87">
        <v>47.040047999999999</v>
      </c>
      <c r="J5" s="88">
        <v>105</v>
      </c>
      <c r="K5" s="89">
        <v>0.121</v>
      </c>
      <c r="L5" s="89">
        <v>0.121</v>
      </c>
      <c r="M5" s="86">
        <v>21.258481709032271</v>
      </c>
      <c r="N5" s="86">
        <v>8264.4628099173551</v>
      </c>
      <c r="O5" s="90">
        <v>0.18972595982363075</v>
      </c>
      <c r="P5" s="91" t="s">
        <v>98</v>
      </c>
      <c r="Q5" s="92"/>
      <c r="T5" s="93">
        <v>2.5</v>
      </c>
      <c r="U5" s="193">
        <f t="shared" si="0"/>
        <v>4500</v>
      </c>
      <c r="V5" s="194">
        <v>11250</v>
      </c>
      <c r="W5" s="195">
        <v>4500</v>
      </c>
      <c r="X5" s="244">
        <f t="shared" si="1"/>
        <v>11250</v>
      </c>
    </row>
    <row r="6" spans="1:24" s="79" customFormat="1" x14ac:dyDescent="0.2">
      <c r="A6" s="79" t="s">
        <v>113</v>
      </c>
      <c r="B6" s="79" t="s">
        <v>109</v>
      </c>
      <c r="C6" s="243">
        <v>45380</v>
      </c>
      <c r="D6" s="86">
        <v>2800</v>
      </c>
      <c r="E6" s="79" t="s">
        <v>32</v>
      </c>
      <c r="F6" s="86">
        <v>2800</v>
      </c>
      <c r="G6" s="86">
        <v>2800</v>
      </c>
      <c r="H6" s="86">
        <v>941</v>
      </c>
      <c r="I6" s="87">
        <v>47.040047999999999</v>
      </c>
      <c r="J6" s="88">
        <v>105</v>
      </c>
      <c r="K6" s="89">
        <v>0.121</v>
      </c>
      <c r="L6" s="89">
        <v>0.121</v>
      </c>
      <c r="M6" s="86">
        <v>59.523748785290358</v>
      </c>
      <c r="N6" s="86">
        <v>23140.495867768597</v>
      </c>
      <c r="O6" s="90">
        <v>0.53123268750616615</v>
      </c>
      <c r="P6" s="91" t="s">
        <v>98</v>
      </c>
      <c r="Q6" s="92"/>
      <c r="T6" s="93">
        <v>3</v>
      </c>
      <c r="U6" s="193">
        <f t="shared" si="0"/>
        <v>4000</v>
      </c>
      <c r="V6" s="194">
        <v>12000</v>
      </c>
      <c r="W6" s="195">
        <v>4000</v>
      </c>
      <c r="X6" s="244">
        <f t="shared" si="1"/>
        <v>12000</v>
      </c>
    </row>
    <row r="7" spans="1:24" s="79" customFormat="1" x14ac:dyDescent="0.2">
      <c r="A7" s="79" t="s">
        <v>136</v>
      </c>
      <c r="B7" s="79" t="s">
        <v>137</v>
      </c>
      <c r="C7" s="243">
        <v>44846</v>
      </c>
      <c r="D7" s="86">
        <v>1000</v>
      </c>
      <c r="E7" s="79" t="s">
        <v>114</v>
      </c>
      <c r="F7" s="86">
        <v>1000</v>
      </c>
      <c r="G7" s="86">
        <v>1000</v>
      </c>
      <c r="H7" s="86">
        <v>2220</v>
      </c>
      <c r="I7" s="87">
        <v>55.492303</v>
      </c>
      <c r="J7" s="88">
        <v>120</v>
      </c>
      <c r="K7" s="89">
        <v>0.16500000000000001</v>
      </c>
      <c r="L7" s="89">
        <v>0.16500000000000001</v>
      </c>
      <c r="M7" s="86">
        <v>18.020517187762056</v>
      </c>
      <c r="N7" s="86">
        <v>6060.6060606060601</v>
      </c>
      <c r="O7" s="90">
        <v>0.13913237053732921</v>
      </c>
      <c r="P7" s="91" t="s">
        <v>98</v>
      </c>
      <c r="Q7" s="92"/>
      <c r="T7" s="93">
        <v>4</v>
      </c>
      <c r="U7" s="193">
        <f t="shared" si="0"/>
        <v>3750</v>
      </c>
      <c r="V7" s="194">
        <v>15000</v>
      </c>
      <c r="W7" s="195">
        <v>3750</v>
      </c>
      <c r="X7" s="244">
        <f t="shared" si="1"/>
        <v>15000</v>
      </c>
    </row>
    <row r="8" spans="1:24" s="79" customFormat="1" x14ac:dyDescent="0.2">
      <c r="A8" s="79" t="s">
        <v>133</v>
      </c>
      <c r="B8" s="79" t="s">
        <v>134</v>
      </c>
      <c r="C8" s="243">
        <v>45234</v>
      </c>
      <c r="D8" s="86">
        <v>3000</v>
      </c>
      <c r="E8" s="79" t="s">
        <v>114</v>
      </c>
      <c r="F8" s="86">
        <v>3000</v>
      </c>
      <c r="G8" s="86">
        <v>3000</v>
      </c>
      <c r="H8" s="86">
        <v>2445</v>
      </c>
      <c r="I8" s="87">
        <v>61.136792999999997</v>
      </c>
      <c r="J8" s="88">
        <v>98</v>
      </c>
      <c r="K8" s="89">
        <v>0.17199999999999999</v>
      </c>
      <c r="L8" s="89">
        <v>0.17199999999999999</v>
      </c>
      <c r="M8" s="86">
        <v>49.070287347260759</v>
      </c>
      <c r="N8" s="86">
        <v>17441.860465116282</v>
      </c>
      <c r="O8" s="90">
        <v>0.40041001986033709</v>
      </c>
      <c r="P8" s="91" t="s">
        <v>98</v>
      </c>
      <c r="Q8" s="92"/>
      <c r="T8" s="93">
        <v>5</v>
      </c>
      <c r="U8" s="193">
        <f t="shared" si="0"/>
        <v>3500</v>
      </c>
      <c r="V8" s="194">
        <v>17500</v>
      </c>
      <c r="W8" s="195">
        <v>3500</v>
      </c>
      <c r="X8" s="244">
        <f t="shared" si="1"/>
        <v>17500</v>
      </c>
    </row>
    <row r="9" spans="1:24" s="79" customFormat="1" x14ac:dyDescent="0.2">
      <c r="A9" s="79" t="s">
        <v>135</v>
      </c>
      <c r="B9" s="79" t="s">
        <v>134</v>
      </c>
      <c r="C9" s="243">
        <v>45234</v>
      </c>
      <c r="D9" s="86">
        <v>3000</v>
      </c>
      <c r="E9" s="79" t="s">
        <v>114</v>
      </c>
      <c r="F9" s="86">
        <v>3000</v>
      </c>
      <c r="G9" s="86">
        <v>3000</v>
      </c>
      <c r="H9" s="86">
        <v>2491</v>
      </c>
      <c r="I9" s="87">
        <v>62.281092999999998</v>
      </c>
      <c r="J9" s="88">
        <v>105</v>
      </c>
      <c r="K9" s="89">
        <v>0.182</v>
      </c>
      <c r="L9" s="89">
        <v>0.182</v>
      </c>
      <c r="M9" s="86">
        <v>48.168711490018332</v>
      </c>
      <c r="N9" s="86">
        <v>16483.516483516483</v>
      </c>
      <c r="O9" s="90">
        <v>0.37840946931856023</v>
      </c>
      <c r="P9" s="91" t="s">
        <v>98</v>
      </c>
      <c r="Q9" s="92"/>
      <c r="T9" s="93">
        <v>7</v>
      </c>
      <c r="U9" s="193">
        <f t="shared" si="0"/>
        <v>3250</v>
      </c>
      <c r="V9" s="194">
        <v>22750</v>
      </c>
      <c r="W9" s="195">
        <v>3250</v>
      </c>
      <c r="X9" s="244">
        <f t="shared" si="1"/>
        <v>22750</v>
      </c>
    </row>
    <row r="10" spans="1:24" s="79" customFormat="1" x14ac:dyDescent="0.2">
      <c r="A10" s="79" t="s">
        <v>138</v>
      </c>
      <c r="B10" s="79" t="s">
        <v>139</v>
      </c>
      <c r="C10" s="243">
        <v>44812</v>
      </c>
      <c r="D10" s="86">
        <v>8000</v>
      </c>
      <c r="E10" s="79" t="s">
        <v>114</v>
      </c>
      <c r="F10" s="86">
        <v>8000</v>
      </c>
      <c r="G10" s="86">
        <v>8000</v>
      </c>
      <c r="H10" s="86">
        <v>3483</v>
      </c>
      <c r="I10" s="87">
        <v>87.076756000000003</v>
      </c>
      <c r="J10" s="88">
        <v>120</v>
      </c>
      <c r="K10" s="89">
        <v>0.33100000000000002</v>
      </c>
      <c r="L10" s="89">
        <v>0.33100000000000002</v>
      </c>
      <c r="M10" s="86">
        <v>91.872967798662586</v>
      </c>
      <c r="N10" s="86">
        <v>24169.184290030211</v>
      </c>
      <c r="O10" s="90">
        <v>0.55484812419720408</v>
      </c>
      <c r="P10" s="91" t="s">
        <v>98</v>
      </c>
      <c r="Q10" s="92"/>
      <c r="T10" s="93">
        <v>10</v>
      </c>
      <c r="U10" s="193">
        <f t="shared" si="0"/>
        <v>3000</v>
      </c>
      <c r="V10" s="194">
        <v>30000</v>
      </c>
      <c r="W10" s="195">
        <v>3000</v>
      </c>
      <c r="X10" s="244">
        <f t="shared" si="1"/>
        <v>30000</v>
      </c>
    </row>
    <row r="11" spans="1:24" s="79" customFormat="1" x14ac:dyDescent="0.2">
      <c r="A11" s="79" t="s">
        <v>115</v>
      </c>
      <c r="B11" s="79" t="s">
        <v>116</v>
      </c>
      <c r="C11" s="243">
        <v>45118</v>
      </c>
      <c r="D11" s="86">
        <v>3800</v>
      </c>
      <c r="E11" s="79" t="s">
        <v>32</v>
      </c>
      <c r="F11" s="86">
        <v>3800</v>
      </c>
      <c r="G11" s="86">
        <v>3800</v>
      </c>
      <c r="H11" s="86">
        <v>4835</v>
      </c>
      <c r="I11" s="87">
        <v>120.85379500000001</v>
      </c>
      <c r="J11" s="88">
        <v>210</v>
      </c>
      <c r="K11" s="89">
        <v>0.36199999999999999</v>
      </c>
      <c r="L11" s="89">
        <v>0.121</v>
      </c>
      <c r="M11" s="86">
        <v>31.442951377737039</v>
      </c>
      <c r="N11" s="86">
        <v>10497.237569060773</v>
      </c>
      <c r="O11" s="90">
        <v>0.24098341526769451</v>
      </c>
      <c r="P11" s="91" t="s">
        <v>98</v>
      </c>
      <c r="Q11" s="92" t="s">
        <v>117</v>
      </c>
      <c r="T11" s="93">
        <v>15</v>
      </c>
      <c r="U11" s="193">
        <f t="shared" si="0"/>
        <v>2750</v>
      </c>
      <c r="V11" s="194">
        <v>41250</v>
      </c>
      <c r="W11" s="195">
        <v>2750</v>
      </c>
      <c r="X11" s="244">
        <f t="shared" si="1"/>
        <v>41250</v>
      </c>
    </row>
    <row r="12" spans="1:24" s="184" customFormat="1" x14ac:dyDescent="0.25">
      <c r="A12" s="245"/>
      <c r="B12" s="245"/>
      <c r="C12" s="246" t="s">
        <v>229</v>
      </c>
      <c r="D12" s="247">
        <f>+SUM(D2:D11)</f>
        <v>30400</v>
      </c>
      <c r="E12" s="245"/>
      <c r="F12" s="247">
        <f>+SUM(F2:F11)</f>
        <v>30400</v>
      </c>
      <c r="G12" s="247">
        <f>+SUM(G2:G11)</f>
        <v>30400</v>
      </c>
      <c r="H12" s="247">
        <f>+SUM(H2:H11)</f>
        <v>32914</v>
      </c>
      <c r="I12" s="248">
        <f>+SUM(I2:I11)</f>
        <v>1123.3202680000002</v>
      </c>
      <c r="J12" s="249"/>
      <c r="K12" s="250">
        <f>+SUM(K2:K11)</f>
        <v>3.9690000000000003</v>
      </c>
      <c r="L12" s="250">
        <f>+SUM(L2:L11)</f>
        <v>2.2879999999999998</v>
      </c>
      <c r="M12" s="247"/>
      <c r="N12" s="247"/>
      <c r="O12" s="251"/>
      <c r="P12" s="77"/>
      <c r="Q12" s="245"/>
      <c r="T12" s="93">
        <v>40</v>
      </c>
      <c r="U12" s="193">
        <f t="shared" si="0"/>
        <v>2750</v>
      </c>
      <c r="V12" s="194">
        <v>110000</v>
      </c>
      <c r="W12" s="195">
        <v>2750</v>
      </c>
      <c r="X12" s="244">
        <f t="shared" si="1"/>
        <v>110000</v>
      </c>
    </row>
    <row r="13" spans="1:24" s="184" customFormat="1" x14ac:dyDescent="0.25">
      <c r="A13" s="245"/>
      <c r="B13" s="245"/>
      <c r="C13" s="246"/>
      <c r="D13" s="247"/>
      <c r="E13" s="245"/>
      <c r="F13" s="247"/>
      <c r="G13" s="247"/>
      <c r="H13" s="247" t="s">
        <v>231</v>
      </c>
      <c r="I13" s="248"/>
      <c r="J13" s="249"/>
      <c r="K13" s="250" t="s">
        <v>231</v>
      </c>
      <c r="L13" s="250"/>
      <c r="M13" s="247"/>
      <c r="N13" s="247" t="s">
        <v>231</v>
      </c>
      <c r="O13" s="251"/>
      <c r="P13" s="77"/>
      <c r="Q13" s="245"/>
      <c r="T13" s="93">
        <v>50</v>
      </c>
      <c r="U13" s="193">
        <f t="shared" si="0"/>
        <v>2750</v>
      </c>
      <c r="V13" s="194">
        <v>137500</v>
      </c>
      <c r="W13" s="195">
        <v>2750</v>
      </c>
      <c r="X13" s="244">
        <f t="shared" si="1"/>
        <v>137500</v>
      </c>
    </row>
    <row r="14" spans="1:24" s="184" customFormat="1" ht="15.75" thickBot="1" x14ac:dyDescent="0.3">
      <c r="A14" s="252"/>
      <c r="B14" s="252"/>
      <c r="C14" s="253"/>
      <c r="D14" s="254"/>
      <c r="E14" s="252"/>
      <c r="F14" s="254"/>
      <c r="G14" s="254"/>
      <c r="H14" s="254" t="s">
        <v>233</v>
      </c>
      <c r="I14" s="255">
        <f>G12/I12</f>
        <v>27.062629301726439</v>
      </c>
      <c r="J14" s="256"/>
      <c r="K14" s="257" t="s">
        <v>234</v>
      </c>
      <c r="L14" s="254">
        <f>G12/K12</f>
        <v>7659.360040312421</v>
      </c>
      <c r="M14" s="254"/>
      <c r="N14" s="254" t="s">
        <v>235</v>
      </c>
      <c r="O14" s="258">
        <f>G12/K12/43560</f>
        <v>0.1758347116692475</v>
      </c>
      <c r="P14" s="259"/>
      <c r="Q14" s="252"/>
      <c r="T14" s="93">
        <v>100</v>
      </c>
      <c r="U14" s="193">
        <f t="shared" si="0"/>
        <v>2750</v>
      </c>
      <c r="V14" s="194">
        <v>275000</v>
      </c>
      <c r="W14" s="222">
        <v>2750</v>
      </c>
      <c r="X14" s="260">
        <f t="shared" si="1"/>
        <v>275000</v>
      </c>
    </row>
    <row r="15" spans="1:24" s="184" customFormat="1" x14ac:dyDescent="0.25">
      <c r="C15" s="261"/>
      <c r="D15" s="262"/>
      <c r="F15" s="262"/>
      <c r="G15" s="262"/>
      <c r="H15" s="262"/>
      <c r="I15" s="263"/>
      <c r="J15" s="264"/>
      <c r="K15" s="265"/>
      <c r="L15" s="265"/>
      <c r="M15" s="262"/>
      <c r="N15" s="262"/>
      <c r="O15" s="266"/>
      <c r="P15" s="51"/>
      <c r="V15" s="403" t="s">
        <v>289</v>
      </c>
      <c r="W15" s="403"/>
    </row>
    <row r="16" spans="1:24" s="184" customFormat="1" x14ac:dyDescent="0.25">
      <c r="C16" s="261"/>
      <c r="D16" s="262"/>
      <c r="F16" s="262"/>
      <c r="G16" s="262"/>
      <c r="H16" s="262"/>
      <c r="I16" s="263"/>
      <c r="J16" s="264"/>
      <c r="K16" s="265"/>
      <c r="L16" s="265"/>
      <c r="M16" s="262"/>
      <c r="N16" s="262"/>
      <c r="O16" s="266"/>
      <c r="P16" s="51"/>
    </row>
    <row r="17" spans="1:17" s="184" customFormat="1" x14ac:dyDescent="0.25">
      <c r="C17" s="261"/>
      <c r="D17" s="262"/>
      <c r="F17" s="262"/>
      <c r="G17" s="262"/>
      <c r="H17" s="262"/>
      <c r="I17" s="263"/>
      <c r="J17" s="264"/>
      <c r="K17" s="265"/>
      <c r="L17" s="265"/>
      <c r="M17" s="262"/>
      <c r="N17" s="262"/>
      <c r="O17" s="266"/>
      <c r="P17" s="51"/>
    </row>
    <row r="18" spans="1:17" s="184" customFormat="1" x14ac:dyDescent="0.25">
      <c r="C18" s="261"/>
      <c r="D18" s="262"/>
      <c r="F18" s="262"/>
      <c r="G18" s="262"/>
      <c r="H18" s="262"/>
      <c r="I18" s="263"/>
      <c r="J18" s="264"/>
      <c r="K18" s="265"/>
      <c r="L18" s="265"/>
      <c r="M18" s="262"/>
      <c r="N18" s="262"/>
      <c r="O18" s="266"/>
      <c r="P18" s="51"/>
    </row>
    <row r="20" spans="1:17" x14ac:dyDescent="0.25">
      <c r="A20" s="67" t="s">
        <v>248</v>
      </c>
      <c r="C20" s="66" t="s">
        <v>250</v>
      </c>
      <c r="E20" s="15"/>
      <c r="F20"/>
      <c r="G20" s="404" t="s">
        <v>309</v>
      </c>
      <c r="H20" s="404"/>
      <c r="I20" s="404"/>
      <c r="J20" s="30"/>
      <c r="K20" s="34"/>
      <c r="M20" s="39"/>
      <c r="O20" s="15"/>
      <c r="P20" s="44"/>
      <c r="Q20" s="4"/>
    </row>
    <row r="21" spans="1:17" x14ac:dyDescent="0.25">
      <c r="A21" s="405" t="s">
        <v>310</v>
      </c>
      <c r="B21" s="405"/>
      <c r="C21" s="267">
        <v>27</v>
      </c>
      <c r="E21" s="15"/>
      <c r="F21"/>
      <c r="G21" s="393" t="s">
        <v>311</v>
      </c>
      <c r="H21" s="393"/>
      <c r="I21" s="393"/>
      <c r="J21" s="268">
        <v>1</v>
      </c>
      <c r="K21" s="269">
        <f>X2</f>
        <v>6000</v>
      </c>
      <c r="L21" s="268">
        <v>3</v>
      </c>
      <c r="M21" s="269">
        <f>X6</f>
        <v>12000</v>
      </c>
      <c r="N21" s="268">
        <v>10</v>
      </c>
      <c r="O21" s="269">
        <f>X10</f>
        <v>30000</v>
      </c>
      <c r="P21" s="268">
        <v>30</v>
      </c>
      <c r="Q21" s="269" t="e">
        <f>#REF!</f>
        <v>#REF!</v>
      </c>
    </row>
    <row r="22" spans="1:17" x14ac:dyDescent="0.25">
      <c r="A22" s="406" t="s">
        <v>312</v>
      </c>
      <c r="B22" s="406"/>
      <c r="C22" s="229">
        <v>27</v>
      </c>
      <c r="E22" s="15"/>
      <c r="F22"/>
      <c r="G22" s="184"/>
      <c r="H22" s="270"/>
      <c r="I22" s="271"/>
      <c r="J22" s="54">
        <v>1.5</v>
      </c>
      <c r="K22" s="55">
        <f>X3</f>
        <v>8250</v>
      </c>
      <c r="L22" s="54">
        <v>4</v>
      </c>
      <c r="M22" s="55">
        <f>X7</f>
        <v>15000</v>
      </c>
      <c r="N22" s="54">
        <v>15</v>
      </c>
      <c r="O22" s="55">
        <f>X11</f>
        <v>41250</v>
      </c>
      <c r="P22" s="54">
        <v>40</v>
      </c>
      <c r="Q22" s="55">
        <f t="shared" ref="Q22:Q24" si="2">X12</f>
        <v>110000</v>
      </c>
    </row>
    <row r="23" spans="1:17" x14ac:dyDescent="0.25">
      <c r="A23" s="405" t="s">
        <v>313</v>
      </c>
      <c r="B23" s="405"/>
      <c r="C23" s="267">
        <v>27</v>
      </c>
      <c r="E23" s="15"/>
      <c r="F23"/>
      <c r="G23" s="184"/>
      <c r="H23" s="270"/>
      <c r="I23" s="271"/>
      <c r="J23" s="268">
        <v>2</v>
      </c>
      <c r="K23" s="269">
        <f>X4</f>
        <v>10000</v>
      </c>
      <c r="L23" s="268">
        <v>5</v>
      </c>
      <c r="M23" s="269">
        <f>X8</f>
        <v>17500</v>
      </c>
      <c r="N23" s="268">
        <v>20</v>
      </c>
      <c r="O23" s="269">
        <v>55000</v>
      </c>
      <c r="P23" s="268">
        <v>50</v>
      </c>
      <c r="Q23" s="269">
        <f t="shared" si="2"/>
        <v>137500</v>
      </c>
    </row>
    <row r="24" spans="1:17" x14ac:dyDescent="0.25">
      <c r="E24" s="15"/>
      <c r="F24"/>
      <c r="G24" s="184"/>
      <c r="H24" s="272"/>
      <c r="I24" s="272"/>
      <c r="J24" s="54">
        <v>2.5</v>
      </c>
      <c r="K24" s="55">
        <f>X5</f>
        <v>11250</v>
      </c>
      <c r="L24" s="54">
        <v>7</v>
      </c>
      <c r="M24" s="55">
        <f>X9</f>
        <v>22750</v>
      </c>
      <c r="N24" s="54">
        <v>25</v>
      </c>
      <c r="O24" s="55" t="e">
        <f>#REF!</f>
        <v>#REF!</v>
      </c>
      <c r="P24" s="54">
        <v>100</v>
      </c>
      <c r="Q24" s="55">
        <f t="shared" si="2"/>
        <v>275000</v>
      </c>
    </row>
  </sheetData>
  <mergeCells count="6">
    <mergeCell ref="A23:B23"/>
    <mergeCell ref="V15:W15"/>
    <mergeCell ref="G20:I20"/>
    <mergeCell ref="A21:B21"/>
    <mergeCell ref="G21:I21"/>
    <mergeCell ref="A22:B22"/>
  </mergeCells>
  <pageMargins left="0.25" right="0.25" top="0.75" bottom="0.75" header="0.3" footer="0.3"/>
  <pageSetup scale="65" orientation="landscape" r:id="rId1"/>
  <headerFooter>
    <oddHeader>&amp;L&amp;"Baskerville Old Face,Bold"&amp;20Dayton Township&amp;C&amp;"Baskerville Old Face,Bold"&amp;20 2025 Land Value Analysis and Determination&amp;R&amp;"Baskerville Old Face,Regular"&amp;16 04/01/2022 - 03/31/2024</oddHeader>
    <oddFooter>&amp;L&amp;"Baskerville Old Face,Regular"&amp;16&amp;A&amp;C&amp;"Baguet Script,Bold"&amp;20Mid-Michigan Assessing Services, LLC</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7DE7C-7216-48B2-A3F7-E6E1DF3C434C}">
  <sheetPr>
    <pageSetUpPr fitToPage="1"/>
  </sheetPr>
  <dimension ref="A1:AB43"/>
  <sheetViews>
    <sheetView view="pageLayout" topLeftCell="K1" zoomScaleNormal="100" workbookViewId="0">
      <selection activeCell="D29" sqref="D29"/>
    </sheetView>
  </sheetViews>
  <sheetFormatPr defaultRowHeight="15" x14ac:dyDescent="0.25"/>
  <cols>
    <col min="1" max="1" width="19.140625" style="214" bestFit="1" customWidth="1"/>
    <col min="2" max="2" width="16.140625" hidden="1" customWidth="1"/>
    <col min="3" max="3" width="11.42578125" style="60" customWidth="1"/>
    <col min="4" max="4" width="11.85546875" style="215" bestFit="1" customWidth="1"/>
    <col min="5" max="5" width="7.7109375" style="2" customWidth="1"/>
    <col min="6" max="6" width="12.5703125" style="215" bestFit="1" customWidth="1"/>
    <col min="7" max="7" width="13.28515625" style="215" bestFit="1" customWidth="1"/>
    <col min="8" max="8" width="14.42578125" style="215" bestFit="1" customWidth="1"/>
    <col min="9" max="9" width="13.28515625" style="216" customWidth="1"/>
    <col min="10" max="10" width="8.5703125" style="217" customWidth="1"/>
    <col min="11" max="11" width="14.28515625" style="218" bestFit="1" customWidth="1"/>
    <col min="12" max="12" width="12.85546875" style="218" customWidth="1"/>
    <col min="13" max="13" width="10" style="215" bestFit="1" customWidth="1"/>
    <col min="14" max="14" width="12" style="215" bestFit="1" customWidth="1"/>
    <col min="15" max="15" width="11.85546875" style="219" bestFit="1" customWidth="1"/>
    <col min="16" max="16" width="10.85546875" style="218" customWidth="1"/>
    <col min="17" max="17" width="19.7109375" style="4" customWidth="1"/>
  </cols>
  <sheetData>
    <row r="1" spans="1:28" s="184" customFormat="1" ht="30" x14ac:dyDescent="0.25">
      <c r="A1" s="178" t="s">
        <v>0</v>
      </c>
      <c r="B1" s="70" t="s">
        <v>1</v>
      </c>
      <c r="C1" s="71" t="s">
        <v>2</v>
      </c>
      <c r="D1" s="152" t="s">
        <v>3</v>
      </c>
      <c r="E1" s="70" t="s">
        <v>4</v>
      </c>
      <c r="F1" s="152" t="s">
        <v>254</v>
      </c>
      <c r="G1" s="152" t="s">
        <v>255</v>
      </c>
      <c r="H1" s="152" t="s">
        <v>256</v>
      </c>
      <c r="I1" s="157" t="s">
        <v>12</v>
      </c>
      <c r="J1" s="179" t="s">
        <v>13</v>
      </c>
      <c r="K1" s="167" t="s">
        <v>14</v>
      </c>
      <c r="L1" s="167" t="s">
        <v>15</v>
      </c>
      <c r="M1" s="152" t="s">
        <v>257</v>
      </c>
      <c r="N1" s="152" t="s">
        <v>258</v>
      </c>
      <c r="O1" s="172" t="s">
        <v>259</v>
      </c>
      <c r="P1" s="77" t="s">
        <v>20</v>
      </c>
      <c r="Q1" s="180" t="s">
        <v>22</v>
      </c>
      <c r="R1" s="181"/>
      <c r="S1" s="181"/>
      <c r="T1" s="67"/>
      <c r="U1" s="67" t="s">
        <v>260</v>
      </c>
      <c r="V1" s="182" t="s">
        <v>261</v>
      </c>
      <c r="W1" s="182" t="s">
        <v>260</v>
      </c>
      <c r="X1" s="183" t="s">
        <v>261</v>
      </c>
      <c r="Y1" s="181"/>
      <c r="Z1" s="181"/>
      <c r="AA1" s="181"/>
      <c r="AB1" s="181"/>
    </row>
    <row r="2" spans="1:28" x14ac:dyDescent="0.25">
      <c r="A2" s="185" t="s">
        <v>131</v>
      </c>
      <c r="B2" s="184" t="s">
        <v>132</v>
      </c>
      <c r="C2" s="186">
        <v>44680</v>
      </c>
      <c r="D2" s="187">
        <v>80500</v>
      </c>
      <c r="E2" s="181" t="s">
        <v>32</v>
      </c>
      <c r="F2" s="187">
        <v>80500</v>
      </c>
      <c r="G2" s="187">
        <v>16926</v>
      </c>
      <c r="H2" s="187">
        <v>15312</v>
      </c>
      <c r="I2" s="188">
        <v>52.800412999999999</v>
      </c>
      <c r="J2" s="189">
        <v>121</v>
      </c>
      <c r="K2" s="190">
        <v>0.16700000000000001</v>
      </c>
      <c r="L2" s="190">
        <v>0.16700000000000001</v>
      </c>
      <c r="M2" s="187">
        <v>320.56567436319108</v>
      </c>
      <c r="N2" s="187">
        <v>101353.29341317364</v>
      </c>
      <c r="O2" s="191">
        <v>2.3267514557661535</v>
      </c>
      <c r="P2" s="192" t="s">
        <v>112</v>
      </c>
      <c r="Q2" s="184"/>
      <c r="T2" s="93">
        <v>1</v>
      </c>
      <c r="U2" s="193">
        <f t="shared" ref="U2:U15" si="0">V2/T2</f>
        <v>15000</v>
      </c>
      <c r="V2" s="194">
        <v>15000</v>
      </c>
      <c r="W2" s="195">
        <v>15000</v>
      </c>
      <c r="X2" s="196">
        <f>T2*W2</f>
        <v>15000</v>
      </c>
    </row>
    <row r="3" spans="1:28" x14ac:dyDescent="0.25">
      <c r="A3" s="185" t="s">
        <v>110</v>
      </c>
      <c r="B3" s="184" t="s">
        <v>111</v>
      </c>
      <c r="C3" s="186">
        <v>44888</v>
      </c>
      <c r="D3" s="187">
        <v>18000</v>
      </c>
      <c r="E3" s="181" t="s">
        <v>32</v>
      </c>
      <c r="F3" s="187">
        <v>18000</v>
      </c>
      <c r="G3" s="187">
        <v>18000</v>
      </c>
      <c r="H3" s="187">
        <v>18365</v>
      </c>
      <c r="I3" s="188">
        <v>63.327866999999998</v>
      </c>
      <c r="J3" s="189">
        <v>105</v>
      </c>
      <c r="K3" s="190">
        <v>0.19</v>
      </c>
      <c r="L3" s="190">
        <v>0.19</v>
      </c>
      <c r="M3" s="187">
        <v>284.23505879331134</v>
      </c>
      <c r="N3" s="187">
        <v>94736.84210526316</v>
      </c>
      <c r="O3" s="191">
        <v>2.1748586341887779</v>
      </c>
      <c r="P3" s="192" t="s">
        <v>112</v>
      </c>
      <c r="Q3" s="184"/>
      <c r="T3" s="93">
        <v>1.5</v>
      </c>
      <c r="U3" s="193">
        <f t="shared" si="0"/>
        <v>14500</v>
      </c>
      <c r="V3" s="194">
        <v>21750</v>
      </c>
      <c r="W3" s="195">
        <v>14500</v>
      </c>
      <c r="X3" s="196">
        <f t="shared" ref="X3:X15" si="1">T3*W3</f>
        <v>21750</v>
      </c>
    </row>
    <row r="4" spans="1:28" x14ac:dyDescent="0.25">
      <c r="A4" s="185" t="s">
        <v>128</v>
      </c>
      <c r="B4" s="184" t="s">
        <v>129</v>
      </c>
      <c r="C4" s="186">
        <v>45189</v>
      </c>
      <c r="D4" s="187">
        <v>70565</v>
      </c>
      <c r="E4" s="181" t="s">
        <v>32</v>
      </c>
      <c r="F4" s="187">
        <v>70565</v>
      </c>
      <c r="G4" s="187">
        <v>13862</v>
      </c>
      <c r="H4" s="187">
        <v>31653</v>
      </c>
      <c r="I4" s="188">
        <v>109.147127</v>
      </c>
      <c r="J4" s="189">
        <v>207</v>
      </c>
      <c r="K4" s="190">
        <v>0.30299999999999999</v>
      </c>
      <c r="L4" s="190">
        <v>0.14499999999999999</v>
      </c>
      <c r="M4" s="187">
        <v>127.00288483085771</v>
      </c>
      <c r="N4" s="187">
        <v>45749.17491749175</v>
      </c>
      <c r="O4" s="191">
        <v>1.0502565408055957</v>
      </c>
      <c r="P4" s="192" t="s">
        <v>112</v>
      </c>
      <c r="Q4" s="184" t="s">
        <v>130</v>
      </c>
      <c r="T4" s="93">
        <v>2</v>
      </c>
      <c r="U4" s="193">
        <f t="shared" si="0"/>
        <v>14000</v>
      </c>
      <c r="V4" s="194">
        <v>28000</v>
      </c>
      <c r="W4" s="195">
        <v>14000</v>
      </c>
      <c r="X4" s="196">
        <f t="shared" si="1"/>
        <v>28000</v>
      </c>
    </row>
    <row r="5" spans="1:28" x14ac:dyDescent="0.25">
      <c r="A5" s="185" t="s">
        <v>121</v>
      </c>
      <c r="B5" s="184" t="s">
        <v>122</v>
      </c>
      <c r="C5" s="186">
        <v>45188</v>
      </c>
      <c r="D5" s="187">
        <v>175000</v>
      </c>
      <c r="E5" s="181" t="s">
        <v>32</v>
      </c>
      <c r="F5" s="187">
        <v>175000</v>
      </c>
      <c r="G5" s="187">
        <v>18974</v>
      </c>
      <c r="H5" s="187">
        <v>24139</v>
      </c>
      <c r="I5" s="188">
        <v>83.236267999999995</v>
      </c>
      <c r="J5" s="189">
        <v>148</v>
      </c>
      <c r="K5" s="190">
        <v>0.34</v>
      </c>
      <c r="L5" s="190">
        <v>0.34</v>
      </c>
      <c r="M5" s="187">
        <v>227.95351660888977</v>
      </c>
      <c r="N5" s="187">
        <v>55805.882352941175</v>
      </c>
      <c r="O5" s="191">
        <v>1.2811267757791822</v>
      </c>
      <c r="P5" s="192" t="s">
        <v>112</v>
      </c>
      <c r="Q5" s="184"/>
      <c r="T5" s="93">
        <v>2.5</v>
      </c>
      <c r="U5" s="193">
        <f t="shared" si="0"/>
        <v>12000</v>
      </c>
      <c r="V5" s="194">
        <v>30000</v>
      </c>
      <c r="W5" s="195">
        <v>12000</v>
      </c>
      <c r="X5" s="196">
        <f t="shared" si="1"/>
        <v>30000</v>
      </c>
    </row>
    <row r="6" spans="1:28" x14ac:dyDescent="0.25">
      <c r="A6" s="197"/>
      <c r="B6" s="10"/>
      <c r="C6" s="198" t="s">
        <v>229</v>
      </c>
      <c r="D6" s="199">
        <f>+SUM(D2:D5)</f>
        <v>344065</v>
      </c>
      <c r="E6" s="200"/>
      <c r="F6" s="199">
        <f>+SUM(F2:F5)</f>
        <v>344065</v>
      </c>
      <c r="G6" s="199">
        <f>+SUM(G2:G5)</f>
        <v>67762</v>
      </c>
      <c r="H6" s="199">
        <f>+SUM(H2:H5)</f>
        <v>89469</v>
      </c>
      <c r="I6" s="201">
        <f>+SUM(I2:I5)</f>
        <v>308.51167499999997</v>
      </c>
      <c r="J6" s="202"/>
      <c r="K6" s="203">
        <f>+SUM(K2:K5)</f>
        <v>1</v>
      </c>
      <c r="L6" s="203">
        <f>+SUM(L2:L5)</f>
        <v>0.84200000000000008</v>
      </c>
      <c r="M6" s="199"/>
      <c r="N6" s="199"/>
      <c r="O6" s="204"/>
      <c r="P6" s="203"/>
      <c r="Q6" s="11"/>
      <c r="T6" s="93">
        <v>4</v>
      </c>
      <c r="U6" s="193">
        <f t="shared" si="0"/>
        <v>7750</v>
      </c>
      <c r="V6" s="194">
        <v>31000</v>
      </c>
      <c r="W6" s="195">
        <v>7750</v>
      </c>
      <c r="X6" s="196">
        <f t="shared" si="1"/>
        <v>31000</v>
      </c>
    </row>
    <row r="7" spans="1:28" x14ac:dyDescent="0.25">
      <c r="A7" s="197"/>
      <c r="B7" s="10"/>
      <c r="C7" s="198"/>
      <c r="D7" s="199"/>
      <c r="E7" s="200"/>
      <c r="F7" s="199"/>
      <c r="G7" s="199"/>
      <c r="H7" s="199" t="s">
        <v>231</v>
      </c>
      <c r="I7" s="201"/>
      <c r="J7" s="202"/>
      <c r="K7" s="203" t="s">
        <v>231</v>
      </c>
      <c r="L7" s="203"/>
      <c r="M7" s="199"/>
      <c r="N7" s="199" t="s">
        <v>231</v>
      </c>
      <c r="O7" s="204"/>
      <c r="P7" s="203"/>
      <c r="Q7" s="11"/>
      <c r="T7" s="93">
        <v>5</v>
      </c>
      <c r="U7" s="193">
        <f t="shared" si="0"/>
        <v>6500</v>
      </c>
      <c r="V7" s="194">
        <v>32500</v>
      </c>
      <c r="W7" s="195">
        <v>6500</v>
      </c>
      <c r="X7" s="196">
        <f t="shared" si="1"/>
        <v>32500</v>
      </c>
    </row>
    <row r="8" spans="1:28" x14ac:dyDescent="0.25">
      <c r="A8" s="205"/>
      <c r="B8" s="12"/>
      <c r="C8" s="206"/>
      <c r="D8" s="207"/>
      <c r="E8" s="208"/>
      <c r="F8" s="207"/>
      <c r="G8" s="207"/>
      <c r="H8" s="207" t="s">
        <v>233</v>
      </c>
      <c r="I8" s="209">
        <f>G6/I6</f>
        <v>219.64160675604904</v>
      </c>
      <c r="J8" s="210"/>
      <c r="K8" s="211" t="s">
        <v>234</v>
      </c>
      <c r="L8" s="211">
        <f>G6/K6</f>
        <v>67762</v>
      </c>
      <c r="M8" s="207"/>
      <c r="N8" s="207" t="s">
        <v>235</v>
      </c>
      <c r="O8" s="212">
        <f>G6/K6/43560</f>
        <v>1.5556014692378328</v>
      </c>
      <c r="P8" s="211"/>
      <c r="Q8" s="13"/>
      <c r="T8" s="93">
        <v>7</v>
      </c>
      <c r="U8" s="193">
        <f t="shared" si="0"/>
        <v>5500</v>
      </c>
      <c r="V8" s="213">
        <v>38500</v>
      </c>
      <c r="W8" s="195">
        <v>5500</v>
      </c>
      <c r="X8" s="196">
        <f t="shared" si="1"/>
        <v>38500</v>
      </c>
    </row>
    <row r="9" spans="1:28" x14ac:dyDescent="0.25">
      <c r="T9" s="93">
        <v>10</v>
      </c>
      <c r="U9" s="193">
        <f t="shared" si="0"/>
        <v>4750</v>
      </c>
      <c r="V9" s="194">
        <v>47500</v>
      </c>
      <c r="W9" s="195">
        <v>4750</v>
      </c>
      <c r="X9" s="196">
        <f t="shared" si="1"/>
        <v>47500</v>
      </c>
    </row>
    <row r="10" spans="1:28" s="184" customFormat="1" ht="30" x14ac:dyDescent="0.25">
      <c r="A10" s="178" t="s">
        <v>0</v>
      </c>
      <c r="B10" s="70" t="s">
        <v>1</v>
      </c>
      <c r="C10" s="71" t="s">
        <v>2</v>
      </c>
      <c r="D10" s="152" t="s">
        <v>3</v>
      </c>
      <c r="E10" s="70" t="s">
        <v>4</v>
      </c>
      <c r="F10" s="152" t="s">
        <v>254</v>
      </c>
      <c r="G10" s="152" t="s">
        <v>255</v>
      </c>
      <c r="H10" s="152" t="s">
        <v>256</v>
      </c>
      <c r="I10" s="157" t="s">
        <v>12</v>
      </c>
      <c r="J10" s="179" t="s">
        <v>13</v>
      </c>
      <c r="K10" s="167" t="s">
        <v>14</v>
      </c>
      <c r="L10" s="167" t="s">
        <v>15</v>
      </c>
      <c r="M10" s="152" t="s">
        <v>257</v>
      </c>
      <c r="N10" s="152" t="s">
        <v>258</v>
      </c>
      <c r="O10" s="172" t="s">
        <v>259</v>
      </c>
      <c r="P10" s="77" t="s">
        <v>20</v>
      </c>
      <c r="Q10" s="178" t="s">
        <v>22</v>
      </c>
      <c r="R10" s="78"/>
      <c r="T10" s="93">
        <v>15</v>
      </c>
      <c r="U10" s="193">
        <f t="shared" si="0"/>
        <v>4500</v>
      </c>
      <c r="V10" s="213">
        <v>67500</v>
      </c>
      <c r="W10" s="195">
        <v>4500</v>
      </c>
      <c r="X10" s="196">
        <f t="shared" si="1"/>
        <v>67500</v>
      </c>
    </row>
    <row r="11" spans="1:28" x14ac:dyDescent="0.25">
      <c r="A11" s="185" t="s">
        <v>123</v>
      </c>
      <c r="B11" s="184" t="s">
        <v>124</v>
      </c>
      <c r="C11" s="186">
        <v>44946</v>
      </c>
      <c r="D11" s="187">
        <v>25000</v>
      </c>
      <c r="E11" s="181" t="s">
        <v>32</v>
      </c>
      <c r="F11" s="187">
        <v>25000</v>
      </c>
      <c r="G11" s="187">
        <v>25000</v>
      </c>
      <c r="H11" s="187">
        <v>6502</v>
      </c>
      <c r="I11" s="188">
        <v>43.346854</v>
      </c>
      <c r="J11" s="189">
        <v>133</v>
      </c>
      <c r="K11" s="190">
        <v>0.153</v>
      </c>
      <c r="L11" s="190">
        <v>0.153</v>
      </c>
      <c r="M11" s="187">
        <v>576.74312419535681</v>
      </c>
      <c r="N11" s="187">
        <v>163398.69281045752</v>
      </c>
      <c r="O11" s="191">
        <v>3.7511178331142681</v>
      </c>
      <c r="P11" s="192" t="s">
        <v>120</v>
      </c>
      <c r="Q11" s="220"/>
      <c r="R11" s="221"/>
      <c r="T11" s="93">
        <v>20</v>
      </c>
      <c r="U11" s="193">
        <f t="shared" si="0"/>
        <v>4000</v>
      </c>
      <c r="V11" s="194">
        <v>80000</v>
      </c>
      <c r="W11" s="195">
        <v>4250</v>
      </c>
      <c r="X11" s="196">
        <f t="shared" si="1"/>
        <v>85000</v>
      </c>
    </row>
    <row r="12" spans="1:28" x14ac:dyDescent="0.25">
      <c r="A12" s="185" t="s">
        <v>125</v>
      </c>
      <c r="B12" s="184" t="s">
        <v>124</v>
      </c>
      <c r="C12" s="186">
        <v>44892</v>
      </c>
      <c r="D12" s="187">
        <v>2500</v>
      </c>
      <c r="E12" s="181" t="s">
        <v>32</v>
      </c>
      <c r="F12" s="187">
        <v>2500</v>
      </c>
      <c r="G12" s="187">
        <v>2500</v>
      </c>
      <c r="H12" s="187">
        <v>6519</v>
      </c>
      <c r="I12" s="188">
        <v>43.460647000000002</v>
      </c>
      <c r="J12" s="189">
        <v>134</v>
      </c>
      <c r="K12" s="190">
        <v>0.154</v>
      </c>
      <c r="L12" s="190">
        <v>0.154</v>
      </c>
      <c r="M12" s="187">
        <v>57.523303783305387</v>
      </c>
      <c r="N12" s="187">
        <v>16233.766233766233</v>
      </c>
      <c r="O12" s="191">
        <v>0.37267599251070327</v>
      </c>
      <c r="P12" s="192" t="s">
        <v>120</v>
      </c>
      <c r="Q12" s="220"/>
      <c r="R12" s="221"/>
      <c r="T12" s="93">
        <v>25</v>
      </c>
      <c r="U12" s="193">
        <f t="shared" si="0"/>
        <v>3500</v>
      </c>
      <c r="V12" s="194">
        <v>87500</v>
      </c>
      <c r="W12" s="195">
        <v>4000</v>
      </c>
      <c r="X12" s="196">
        <f t="shared" si="1"/>
        <v>100000</v>
      </c>
    </row>
    <row r="13" spans="1:28" x14ac:dyDescent="0.25">
      <c r="A13" s="185" t="s">
        <v>118</v>
      </c>
      <c r="B13" s="184" t="s">
        <v>119</v>
      </c>
      <c r="C13" s="186">
        <v>44946</v>
      </c>
      <c r="D13" s="187">
        <v>10000</v>
      </c>
      <c r="E13" s="181" t="s">
        <v>101</v>
      </c>
      <c r="F13" s="187">
        <v>10000</v>
      </c>
      <c r="G13" s="187">
        <v>10000</v>
      </c>
      <c r="H13" s="187">
        <v>9726</v>
      </c>
      <c r="I13" s="188">
        <v>64.839447000000007</v>
      </c>
      <c r="J13" s="189">
        <v>116</v>
      </c>
      <c r="K13" s="190">
        <v>0.26600000000000001</v>
      </c>
      <c r="L13" s="190">
        <v>0.26600000000000001</v>
      </c>
      <c r="M13" s="187">
        <v>154.22710190603567</v>
      </c>
      <c r="N13" s="187">
        <v>37593.984962406015</v>
      </c>
      <c r="O13" s="191">
        <v>0.86303914055110231</v>
      </c>
      <c r="P13" s="192" t="s">
        <v>120</v>
      </c>
      <c r="Q13" s="220"/>
      <c r="R13" s="221"/>
      <c r="T13" s="93">
        <v>30</v>
      </c>
      <c r="U13" s="193">
        <f t="shared" si="0"/>
        <v>3000</v>
      </c>
      <c r="V13" s="194">
        <v>90000</v>
      </c>
      <c r="W13" s="195">
        <v>3750</v>
      </c>
      <c r="X13" s="196">
        <f t="shared" si="1"/>
        <v>112500</v>
      </c>
    </row>
    <row r="14" spans="1:28" x14ac:dyDescent="0.25">
      <c r="A14" s="185" t="s">
        <v>126</v>
      </c>
      <c r="B14" s="184" t="s">
        <v>124</v>
      </c>
      <c r="C14" s="186">
        <v>44807</v>
      </c>
      <c r="D14" s="187">
        <v>5000</v>
      </c>
      <c r="E14" s="181" t="s">
        <v>114</v>
      </c>
      <c r="F14" s="187">
        <v>5000</v>
      </c>
      <c r="G14" s="187">
        <v>5000</v>
      </c>
      <c r="H14" s="187">
        <v>13072</v>
      </c>
      <c r="I14" s="188">
        <v>87.147778000000002</v>
      </c>
      <c r="J14" s="189">
        <v>270</v>
      </c>
      <c r="K14" s="190">
        <v>0.31</v>
      </c>
      <c r="L14" s="190">
        <v>0.155</v>
      </c>
      <c r="M14" s="187">
        <v>57.373809347152829</v>
      </c>
      <c r="N14" s="187">
        <v>16129.032258064517</v>
      </c>
      <c r="O14" s="191">
        <v>0.37027163126869872</v>
      </c>
      <c r="P14" s="192" t="s">
        <v>120</v>
      </c>
      <c r="Q14" s="220" t="s">
        <v>127</v>
      </c>
      <c r="R14" s="221"/>
      <c r="T14" s="93">
        <v>40</v>
      </c>
      <c r="U14" s="193">
        <f t="shared" si="0"/>
        <v>2900</v>
      </c>
      <c r="V14" s="194">
        <v>116000</v>
      </c>
      <c r="W14" s="195">
        <v>3500</v>
      </c>
      <c r="X14" s="196">
        <f t="shared" si="1"/>
        <v>140000</v>
      </c>
    </row>
    <row r="15" spans="1:28" x14ac:dyDescent="0.25">
      <c r="A15" s="185" t="s">
        <v>127</v>
      </c>
      <c r="B15" s="184" t="s">
        <v>124</v>
      </c>
      <c r="C15" s="186">
        <v>44807</v>
      </c>
      <c r="D15" s="187">
        <v>5000</v>
      </c>
      <c r="E15" s="181" t="s">
        <v>114</v>
      </c>
      <c r="F15" s="187">
        <v>5000</v>
      </c>
      <c r="G15" s="187">
        <v>5000</v>
      </c>
      <c r="H15" s="187">
        <v>13072</v>
      </c>
      <c r="I15" s="188">
        <v>87.147778000000002</v>
      </c>
      <c r="J15" s="189">
        <v>270</v>
      </c>
      <c r="K15" s="190">
        <v>0.31</v>
      </c>
      <c r="L15" s="190">
        <v>0.155</v>
      </c>
      <c r="M15" s="187">
        <v>57.373809347152829</v>
      </c>
      <c r="N15" s="187">
        <v>16129.032258064517</v>
      </c>
      <c r="O15" s="191">
        <v>0.37027163126869872</v>
      </c>
      <c r="P15" s="192" t="s">
        <v>120</v>
      </c>
      <c r="Q15" s="220" t="s">
        <v>126</v>
      </c>
      <c r="R15" s="221"/>
      <c r="T15" s="93">
        <v>50</v>
      </c>
      <c r="U15" s="193">
        <f t="shared" si="0"/>
        <v>2800</v>
      </c>
      <c r="V15" s="194">
        <v>140000</v>
      </c>
      <c r="W15" s="195">
        <v>3250</v>
      </c>
      <c r="X15" s="196">
        <f t="shared" si="1"/>
        <v>162500</v>
      </c>
    </row>
    <row r="16" spans="1:28" x14ac:dyDescent="0.25">
      <c r="A16" s="197"/>
      <c r="B16" s="10"/>
      <c r="C16" s="198" t="s">
        <v>229</v>
      </c>
      <c r="D16" s="199">
        <f>+SUM(D11:D15)</f>
        <v>47500</v>
      </c>
      <c r="E16" s="200"/>
      <c r="F16" s="199">
        <f>+SUM(F11:F15)</f>
        <v>47500</v>
      </c>
      <c r="G16" s="199">
        <f>+SUM(G11:G15)</f>
        <v>47500</v>
      </c>
      <c r="H16" s="199">
        <f>+SUM(H11:H15)</f>
        <v>48891</v>
      </c>
      <c r="I16" s="201">
        <f>+SUM(I11:I15)</f>
        <v>325.94250400000004</v>
      </c>
      <c r="J16" s="202"/>
      <c r="K16" s="203">
        <f>+SUM(K11:K15)</f>
        <v>1.1930000000000001</v>
      </c>
      <c r="L16" s="203">
        <f>+SUM(L11:L15)</f>
        <v>0.88300000000000001</v>
      </c>
      <c r="M16" s="199"/>
      <c r="N16" s="199"/>
      <c r="O16" s="204"/>
      <c r="P16" s="203"/>
      <c r="Q16" s="11"/>
      <c r="T16" s="184"/>
      <c r="U16" s="184"/>
      <c r="V16" s="403" t="s">
        <v>289</v>
      </c>
      <c r="W16" s="403"/>
      <c r="X16" s="184"/>
    </row>
    <row r="17" spans="1:24" x14ac:dyDescent="0.25">
      <c r="A17" s="197"/>
      <c r="B17" s="10"/>
      <c r="C17" s="198"/>
      <c r="D17" s="199"/>
      <c r="E17" s="200"/>
      <c r="F17" s="199"/>
      <c r="G17" s="199"/>
      <c r="H17" s="199" t="s">
        <v>231</v>
      </c>
      <c r="I17" s="201"/>
      <c r="J17" s="202"/>
      <c r="K17" s="203" t="s">
        <v>231</v>
      </c>
      <c r="L17" s="203"/>
      <c r="M17" s="199"/>
      <c r="N17" s="199" t="s">
        <v>231</v>
      </c>
      <c r="O17" s="204"/>
      <c r="P17" s="203"/>
      <c r="Q17" s="11"/>
    </row>
    <row r="18" spans="1:24" x14ac:dyDescent="0.25">
      <c r="A18" s="205"/>
      <c r="B18" s="12"/>
      <c r="C18" s="206"/>
      <c r="D18" s="207"/>
      <c r="E18" s="208"/>
      <c r="F18" s="207"/>
      <c r="G18" s="207"/>
      <c r="H18" s="207" t="s">
        <v>233</v>
      </c>
      <c r="I18" s="209">
        <f>G16/I16</f>
        <v>145.73122381117867</v>
      </c>
      <c r="J18" s="210"/>
      <c r="K18" s="211" t="s">
        <v>234</v>
      </c>
      <c r="L18" s="211">
        <f>G16/K16</f>
        <v>39815.590947191951</v>
      </c>
      <c r="M18" s="207"/>
      <c r="N18" s="207" t="s">
        <v>235</v>
      </c>
      <c r="O18" s="212">
        <f>G16/K16/43560</f>
        <v>0.91404019621652777</v>
      </c>
      <c r="P18" s="211"/>
      <c r="Q18" s="13"/>
    </row>
    <row r="21" spans="1:24" x14ac:dyDescent="0.25">
      <c r="F21" s="404"/>
      <c r="G21" s="404"/>
      <c r="H21" s="404"/>
      <c r="P21" s="4"/>
    </row>
    <row r="22" spans="1:24" x14ac:dyDescent="0.25">
      <c r="A22" s="408" t="s">
        <v>248</v>
      </c>
      <c r="B22" s="408"/>
      <c r="C22" s="66" t="s">
        <v>250</v>
      </c>
      <c r="E22" s="61"/>
      <c r="F22" s="4"/>
      <c r="G22" s="393" t="s">
        <v>305</v>
      </c>
      <c r="H22" s="393"/>
      <c r="I22" s="393"/>
      <c r="J22" s="225">
        <v>1</v>
      </c>
      <c r="K22" s="226">
        <f>X2</f>
        <v>15000</v>
      </c>
      <c r="L22" s="225">
        <v>3</v>
      </c>
      <c r="M22" s="226">
        <v>30000</v>
      </c>
      <c r="N22" s="225">
        <v>10</v>
      </c>
      <c r="O22" s="226">
        <f>X9</f>
        <v>47500</v>
      </c>
      <c r="P22" s="225">
        <v>30</v>
      </c>
      <c r="Q22" s="226">
        <f>X13</f>
        <v>112500</v>
      </c>
      <c r="R22" s="4"/>
    </row>
    <row r="23" spans="1:24" x14ac:dyDescent="0.25">
      <c r="A23" s="409" t="s">
        <v>306</v>
      </c>
      <c r="B23" s="409"/>
      <c r="C23" s="227">
        <v>220</v>
      </c>
      <c r="E23" s="61"/>
      <c r="F23" s="4"/>
      <c r="G23" s="51"/>
      <c r="H23" s="52"/>
      <c r="I23" s="53"/>
      <c r="J23" s="54">
        <v>1.5</v>
      </c>
      <c r="K23" s="55">
        <f>X3</f>
        <v>21750</v>
      </c>
      <c r="L23" s="54">
        <v>4</v>
      </c>
      <c r="M23" s="55">
        <f>X6</f>
        <v>31000</v>
      </c>
      <c r="N23" s="54">
        <v>15</v>
      </c>
      <c r="O23" s="55">
        <f>X10</f>
        <v>67500</v>
      </c>
      <c r="P23" s="54">
        <v>40</v>
      </c>
      <c r="Q23" s="55">
        <f>X14</f>
        <v>140000</v>
      </c>
      <c r="R23" s="4"/>
    </row>
    <row r="24" spans="1:24" x14ac:dyDescent="0.25">
      <c r="A24" s="410" t="s">
        <v>307</v>
      </c>
      <c r="B24" s="410"/>
      <c r="C24" s="228">
        <v>150</v>
      </c>
      <c r="E24" s="61"/>
      <c r="F24" s="4"/>
      <c r="G24" s="51"/>
      <c r="H24" s="52"/>
      <c r="I24" s="53"/>
      <c r="J24" s="225">
        <v>2</v>
      </c>
      <c r="K24" s="226">
        <f>X4</f>
        <v>28000</v>
      </c>
      <c r="L24" s="225">
        <v>5</v>
      </c>
      <c r="M24" s="226">
        <f>X7</f>
        <v>32500</v>
      </c>
      <c r="N24" s="225">
        <v>20</v>
      </c>
      <c r="O24" s="226">
        <f>X11</f>
        <v>85000</v>
      </c>
      <c r="P24" s="225">
        <v>50</v>
      </c>
      <c r="Q24" s="226">
        <f>X15</f>
        <v>162500</v>
      </c>
      <c r="R24" s="4"/>
    </row>
    <row r="25" spans="1:24" x14ac:dyDescent="0.25">
      <c r="C25" s="229"/>
      <c r="E25" s="61"/>
      <c r="F25" s="4"/>
      <c r="G25" s="51"/>
      <c r="H25" s="56"/>
      <c r="I25" s="56"/>
      <c r="J25" s="54">
        <v>2.5</v>
      </c>
      <c r="K25" s="55">
        <f>X5</f>
        <v>30000</v>
      </c>
      <c r="L25" s="54">
        <v>7</v>
      </c>
      <c r="M25" s="55">
        <f>X8</f>
        <v>38500</v>
      </c>
      <c r="N25" s="54">
        <v>25</v>
      </c>
      <c r="O25" s="55">
        <f>X12</f>
        <v>100000</v>
      </c>
      <c r="P25" s="54">
        <v>100</v>
      </c>
      <c r="Q25" s="55" t="e">
        <f>#REF!</f>
        <v>#REF!</v>
      </c>
      <c r="R25" s="4"/>
    </row>
    <row r="26" spans="1:24" ht="30" x14ac:dyDescent="0.25">
      <c r="E26" s="61"/>
      <c r="F26" s="4"/>
      <c r="I26" s="215"/>
      <c r="J26" s="216"/>
      <c r="K26" s="217"/>
      <c r="M26" s="218"/>
      <c r="O26" s="215"/>
      <c r="P26" s="219"/>
      <c r="Q26" s="39"/>
      <c r="R26" s="4"/>
      <c r="T26" s="80"/>
      <c r="U26" s="80" t="s">
        <v>260</v>
      </c>
      <c r="V26" s="81" t="s">
        <v>261</v>
      </c>
      <c r="W26" s="81" t="s">
        <v>260</v>
      </c>
      <c r="X26" s="82" t="s">
        <v>261</v>
      </c>
    </row>
    <row r="27" spans="1:24" x14ac:dyDescent="0.25">
      <c r="E27" s="61"/>
      <c r="F27" s="4"/>
      <c r="I27" s="215"/>
      <c r="J27" s="216"/>
      <c r="K27" s="217"/>
      <c r="M27" s="218"/>
      <c r="O27" s="215"/>
      <c r="P27" s="219"/>
      <c r="Q27" s="39"/>
      <c r="R27" s="4"/>
      <c r="T27" s="93">
        <v>1</v>
      </c>
      <c r="U27" s="94">
        <f t="shared" ref="U27:U34" si="2">V27/T27</f>
        <v>9000</v>
      </c>
      <c r="V27" s="95">
        <v>9000</v>
      </c>
      <c r="W27" s="96">
        <v>9000</v>
      </c>
      <c r="X27" s="97">
        <f>T27*W27</f>
        <v>9000</v>
      </c>
    </row>
    <row r="28" spans="1:24" x14ac:dyDescent="0.25">
      <c r="E28" s="61"/>
      <c r="F28" s="4"/>
      <c r="G28" s="393" t="s">
        <v>308</v>
      </c>
      <c r="H28" s="393"/>
      <c r="I28" s="393"/>
      <c r="J28" s="230">
        <v>1</v>
      </c>
      <c r="K28" s="231">
        <f>X27</f>
        <v>9000</v>
      </c>
      <c r="L28" s="230">
        <v>3</v>
      </c>
      <c r="M28" s="231">
        <f>X31</f>
        <v>21000</v>
      </c>
      <c r="N28" s="230">
        <v>10</v>
      </c>
      <c r="O28" s="231">
        <f>X35</f>
        <v>45000</v>
      </c>
      <c r="P28" s="230">
        <v>30</v>
      </c>
      <c r="Q28" s="231">
        <f>X39</f>
        <v>105000</v>
      </c>
      <c r="R28" s="4"/>
      <c r="T28" s="93">
        <v>1.5</v>
      </c>
      <c r="U28" s="94">
        <f t="shared" si="2"/>
        <v>8500</v>
      </c>
      <c r="V28" s="95">
        <v>12750</v>
      </c>
      <c r="W28" s="96">
        <v>8500</v>
      </c>
      <c r="X28" s="97">
        <f t="shared" ref="X28:X42" si="3">T28*W28</f>
        <v>12750</v>
      </c>
    </row>
    <row r="29" spans="1:24" x14ac:dyDescent="0.25">
      <c r="E29" s="61"/>
      <c r="F29" s="4"/>
      <c r="G29" s="51"/>
      <c r="H29" s="52"/>
      <c r="I29" s="53"/>
      <c r="J29" s="54">
        <v>1.5</v>
      </c>
      <c r="K29" s="55">
        <f t="shared" ref="K29:K31" si="4">X28</f>
        <v>12750</v>
      </c>
      <c r="L29" s="54">
        <v>4</v>
      </c>
      <c r="M29" s="55">
        <f t="shared" ref="M29:M31" si="5">X32</f>
        <v>26000</v>
      </c>
      <c r="N29" s="54">
        <v>15</v>
      </c>
      <c r="O29" s="55">
        <f t="shared" ref="O29:O31" si="6">X36</f>
        <v>63750</v>
      </c>
      <c r="P29" s="54">
        <v>40</v>
      </c>
      <c r="Q29" s="55">
        <f t="shared" ref="Q29:Q31" si="7">X40</f>
        <v>130000</v>
      </c>
      <c r="R29" s="4"/>
      <c r="T29" s="93">
        <v>2</v>
      </c>
      <c r="U29" s="94">
        <f t="shared" si="2"/>
        <v>8000</v>
      </c>
      <c r="V29" s="95">
        <v>16000</v>
      </c>
      <c r="W29" s="96">
        <v>8000</v>
      </c>
      <c r="X29" s="97">
        <f t="shared" si="3"/>
        <v>16000</v>
      </c>
    </row>
    <row r="30" spans="1:24" x14ac:dyDescent="0.25">
      <c r="E30" s="61"/>
      <c r="F30" s="4"/>
      <c r="G30" s="51"/>
      <c r="H30" s="52"/>
      <c r="I30" s="53"/>
      <c r="J30" s="230">
        <v>2</v>
      </c>
      <c r="K30" s="231">
        <f t="shared" si="4"/>
        <v>16000</v>
      </c>
      <c r="L30" s="230">
        <v>5</v>
      </c>
      <c r="M30" s="231">
        <f t="shared" si="5"/>
        <v>27500</v>
      </c>
      <c r="N30" s="230">
        <v>20</v>
      </c>
      <c r="O30" s="231">
        <f t="shared" si="6"/>
        <v>80000</v>
      </c>
      <c r="P30" s="230">
        <v>50</v>
      </c>
      <c r="Q30" s="231">
        <f t="shared" si="7"/>
        <v>150000</v>
      </c>
      <c r="R30" s="4"/>
      <c r="T30" s="93">
        <v>2.5</v>
      </c>
      <c r="U30" s="94">
        <f t="shared" si="2"/>
        <v>7500</v>
      </c>
      <c r="V30" s="95">
        <v>18750</v>
      </c>
      <c r="W30" s="96">
        <v>7500</v>
      </c>
      <c r="X30" s="97">
        <f t="shared" si="3"/>
        <v>18750</v>
      </c>
    </row>
    <row r="31" spans="1:24" x14ac:dyDescent="0.25">
      <c r="E31" s="61"/>
      <c r="F31" s="4"/>
      <c r="G31" s="51"/>
      <c r="H31" s="56"/>
      <c r="I31" s="56"/>
      <c r="J31" s="54">
        <v>2.5</v>
      </c>
      <c r="K31" s="55">
        <f t="shared" si="4"/>
        <v>18750</v>
      </c>
      <c r="L31" s="54">
        <v>7</v>
      </c>
      <c r="M31" s="55">
        <f t="shared" si="5"/>
        <v>33250</v>
      </c>
      <c r="N31" s="54">
        <v>25</v>
      </c>
      <c r="O31" s="55">
        <f t="shared" si="6"/>
        <v>93750</v>
      </c>
      <c r="P31" s="54">
        <v>100</v>
      </c>
      <c r="Q31" s="55">
        <f t="shared" si="7"/>
        <v>275000</v>
      </c>
      <c r="R31" s="4"/>
      <c r="T31" s="93">
        <v>3</v>
      </c>
      <c r="U31" s="94">
        <f t="shared" si="2"/>
        <v>7000</v>
      </c>
      <c r="V31" s="95">
        <v>21000</v>
      </c>
      <c r="W31" s="96">
        <v>7000</v>
      </c>
      <c r="X31" s="97">
        <f t="shared" si="3"/>
        <v>21000</v>
      </c>
    </row>
    <row r="32" spans="1:24" x14ac:dyDescent="0.25">
      <c r="E32" s="61"/>
      <c r="F32" s="4"/>
      <c r="I32" s="215"/>
      <c r="J32" s="216"/>
      <c r="K32" s="217"/>
      <c r="M32" s="218"/>
      <c r="O32" s="215"/>
      <c r="P32" s="219"/>
      <c r="Q32" s="39"/>
      <c r="R32" s="4"/>
      <c r="T32" s="93">
        <v>4</v>
      </c>
      <c r="U32" s="94">
        <f t="shared" si="2"/>
        <v>6500</v>
      </c>
      <c r="V32" s="95">
        <v>26000</v>
      </c>
      <c r="W32" s="96">
        <v>6500</v>
      </c>
      <c r="X32" s="97">
        <f t="shared" si="3"/>
        <v>26000</v>
      </c>
    </row>
    <row r="33" spans="5:24" x14ac:dyDescent="0.25">
      <c r="E33" s="61"/>
      <c r="F33" s="4"/>
      <c r="I33" s="215"/>
      <c r="J33" s="131"/>
      <c r="K33" s="132"/>
      <c r="L33" s="131"/>
      <c r="M33" s="132"/>
      <c r="N33" s="131"/>
      <c r="O33" s="132"/>
      <c r="P33" s="131"/>
      <c r="Q33" s="132"/>
      <c r="R33" s="4"/>
      <c r="T33" s="93">
        <v>5</v>
      </c>
      <c r="U33" s="94">
        <f t="shared" si="2"/>
        <v>5500</v>
      </c>
      <c r="V33" s="95">
        <v>27500</v>
      </c>
      <c r="W33" s="96">
        <v>5500</v>
      </c>
      <c r="X33" s="97">
        <f t="shared" si="3"/>
        <v>27500</v>
      </c>
    </row>
    <row r="34" spans="5:24" x14ac:dyDescent="0.25">
      <c r="I34" s="131"/>
      <c r="J34" s="132"/>
      <c r="K34" s="131"/>
      <c r="L34" s="132"/>
      <c r="M34" s="131"/>
      <c r="N34" s="132"/>
      <c r="O34" s="131"/>
      <c r="P34" s="132"/>
      <c r="T34" s="93">
        <v>7</v>
      </c>
      <c r="U34" s="94">
        <f t="shared" si="2"/>
        <v>4500</v>
      </c>
      <c r="V34" s="98">
        <v>31500</v>
      </c>
      <c r="W34" s="96">
        <v>4750</v>
      </c>
      <c r="X34" s="97">
        <f t="shared" si="3"/>
        <v>33250</v>
      </c>
    </row>
    <row r="35" spans="5:24" x14ac:dyDescent="0.25">
      <c r="I35" s="131"/>
      <c r="J35" s="132"/>
      <c r="K35" s="131"/>
      <c r="L35" s="132"/>
      <c r="M35" s="131"/>
      <c r="N35" s="132"/>
      <c r="O35" s="131"/>
      <c r="P35" s="132"/>
      <c r="T35" s="93">
        <v>10</v>
      </c>
      <c r="U35" s="94">
        <f>V35/T35</f>
        <v>4250</v>
      </c>
      <c r="V35" s="95">
        <v>42500</v>
      </c>
      <c r="W35" s="96">
        <v>4500</v>
      </c>
      <c r="X35" s="97">
        <f t="shared" si="3"/>
        <v>45000</v>
      </c>
    </row>
    <row r="36" spans="5:24" x14ac:dyDescent="0.25">
      <c r="I36" s="131"/>
      <c r="J36" s="132"/>
      <c r="K36" s="131"/>
      <c r="L36" s="132"/>
      <c r="M36" s="131"/>
      <c r="N36" s="132"/>
      <c r="O36" s="131"/>
      <c r="P36" s="132"/>
      <c r="T36" s="93">
        <v>15</v>
      </c>
      <c r="U36" s="94">
        <f t="shared" ref="U36:U42" si="8">V36/T36</f>
        <v>4000</v>
      </c>
      <c r="V36" s="98">
        <v>60000</v>
      </c>
      <c r="W36" s="96">
        <v>4250</v>
      </c>
      <c r="X36" s="97">
        <f t="shared" si="3"/>
        <v>63750</v>
      </c>
    </row>
    <row r="37" spans="5:24" x14ac:dyDescent="0.25">
      <c r="T37" s="93">
        <v>20</v>
      </c>
      <c r="U37" s="94">
        <f t="shared" si="8"/>
        <v>3750</v>
      </c>
      <c r="V37" s="95">
        <v>75000</v>
      </c>
      <c r="W37" s="96">
        <v>4000</v>
      </c>
      <c r="X37" s="97">
        <f t="shared" si="3"/>
        <v>80000</v>
      </c>
    </row>
    <row r="38" spans="5:24" x14ac:dyDescent="0.25">
      <c r="T38" s="93">
        <v>25</v>
      </c>
      <c r="U38" s="94">
        <f t="shared" si="8"/>
        <v>3500</v>
      </c>
      <c r="V38" s="95">
        <v>87500</v>
      </c>
      <c r="W38" s="96">
        <v>3750</v>
      </c>
      <c r="X38" s="97">
        <f t="shared" si="3"/>
        <v>93750</v>
      </c>
    </row>
    <row r="39" spans="5:24" x14ac:dyDescent="0.25">
      <c r="T39" s="93">
        <v>30</v>
      </c>
      <c r="U39" s="94">
        <f t="shared" si="8"/>
        <v>3250</v>
      </c>
      <c r="V39" s="95">
        <v>97500</v>
      </c>
      <c r="W39" s="96">
        <v>3500</v>
      </c>
      <c r="X39" s="97">
        <f t="shared" si="3"/>
        <v>105000</v>
      </c>
    </row>
    <row r="40" spans="5:24" x14ac:dyDescent="0.25">
      <c r="T40" s="93">
        <v>40</v>
      </c>
      <c r="U40" s="94">
        <f t="shared" si="8"/>
        <v>3000</v>
      </c>
      <c r="V40" s="95">
        <v>120000</v>
      </c>
      <c r="W40" s="96">
        <v>3250</v>
      </c>
      <c r="X40" s="97">
        <f t="shared" si="3"/>
        <v>130000</v>
      </c>
    </row>
    <row r="41" spans="5:24" x14ac:dyDescent="0.25">
      <c r="T41" s="93">
        <v>50</v>
      </c>
      <c r="U41" s="94">
        <f t="shared" si="8"/>
        <v>2750</v>
      </c>
      <c r="V41" s="95">
        <v>137500</v>
      </c>
      <c r="W41" s="96">
        <v>3000</v>
      </c>
      <c r="X41" s="97">
        <f t="shared" si="3"/>
        <v>150000</v>
      </c>
    </row>
    <row r="42" spans="5:24" ht="15.75" thickBot="1" x14ac:dyDescent="0.3">
      <c r="T42" s="93">
        <v>100</v>
      </c>
      <c r="U42" s="94">
        <f t="shared" si="8"/>
        <v>2500</v>
      </c>
      <c r="V42" s="98">
        <v>250000</v>
      </c>
      <c r="W42" s="115">
        <v>2750</v>
      </c>
      <c r="X42" s="116">
        <f t="shared" si="3"/>
        <v>275000</v>
      </c>
    </row>
    <row r="43" spans="5:24" x14ac:dyDescent="0.25">
      <c r="V43" s="407" t="s">
        <v>289</v>
      </c>
      <c r="W43" s="407"/>
    </row>
  </sheetData>
  <mergeCells count="8">
    <mergeCell ref="G28:I28"/>
    <mergeCell ref="V43:W43"/>
    <mergeCell ref="V16:W16"/>
    <mergeCell ref="F21:H21"/>
    <mergeCell ref="A22:B22"/>
    <mergeCell ref="G22:I22"/>
    <mergeCell ref="A23:B23"/>
    <mergeCell ref="A24:B24"/>
  </mergeCells>
  <pageMargins left="0.25" right="0.25" top="0.75" bottom="0.75" header="0.3" footer="0.3"/>
  <pageSetup scale="65" orientation="landscape" r:id="rId1"/>
  <headerFooter>
    <oddHeader>&amp;L&amp;"Baskerville Old Face,Bold"&amp;20Dayton Township&amp;C&amp;"Baskerville Old Face,Bold"&amp;20 2025 Land Value Analysis and Determination</oddHeader>
    <oddFooter>&amp;L&amp;"Baskerville Old Face,Regular"&amp;16&amp;A&amp;C&amp;"Baguet Script,Bold"&amp;20Mid-Michigan Assessing Services, LLC</oddFooter>
  </headerFooter>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Agricultural</vt:lpstr>
      <vt:lpstr>Final Res Land Analysis</vt:lpstr>
      <vt:lpstr>Subs BCNLK &amp; Lee Hill  Land </vt:lpstr>
      <vt:lpstr>Cat Lake - Lake Hill Sub</vt:lpstr>
      <vt:lpstr>Commercial</vt:lpstr>
      <vt:lpstr>Harmon Lake Propeties</vt:lpstr>
      <vt:lpstr>Lake Evergreen</vt:lpstr>
      <vt:lpstr>Shay Lake off lake</vt:lpstr>
      <vt:lpstr>Shay Lake onlake</vt:lpstr>
      <vt:lpstr>Agricultural!Print_Area</vt:lpstr>
      <vt:lpstr>'Cat Lake - Lake Hill Sub'!Print_Area</vt:lpstr>
      <vt:lpstr>Commercial!Print_Area</vt:lpstr>
      <vt:lpstr>'Final Res Land Analysis'!Print_Area</vt:lpstr>
      <vt:lpstr>'Harmon Lake Propeties'!Print_Area</vt:lpstr>
      <vt:lpstr>'Lake Evergreen'!Print_Area</vt:lpstr>
      <vt:lpstr>'Shay Lake off lake'!Print_Area</vt:lpstr>
      <vt:lpstr>'Shay Lake onlake'!Print_Area</vt:lpstr>
      <vt:lpstr>'Subs BCNLK &amp; Lee Hill  Land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Fackler</dc:creator>
  <cp:lastModifiedBy>Joan Fackler</cp:lastModifiedBy>
  <cp:lastPrinted>2025-05-20T22:12:04Z</cp:lastPrinted>
  <dcterms:created xsi:type="dcterms:W3CDTF">2025-02-02T02:49:53Z</dcterms:created>
  <dcterms:modified xsi:type="dcterms:W3CDTF">2025-05-20T22:22:03Z</dcterms:modified>
</cp:coreProperties>
</file>